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9360" tabRatio="694" activeTab="5"/>
  </bookViews>
  <sheets>
    <sheet name="Sheet1" sheetId="19" r:id="rId1"/>
    <sheet name="bilant" sheetId="15" r:id="rId2"/>
    <sheet name="bilant energetic" sheetId="21" r:id="rId3"/>
    <sheet name="lot 4" sheetId="2" r:id="rId4"/>
    <sheet name="lot 4 FOTO" sheetId="7" r:id="rId5"/>
    <sheet name="LOT 4 (1)" sheetId="22" r:id="rId6"/>
    <sheet name="LOT 4 FOTO (1)" sheetId="23" r:id="rId7"/>
    <sheet name="AIL EXISTENT" sheetId="13" r:id="rId8"/>
    <sheet name="AIL PROIECTAT" sheetId="20" r:id="rId9"/>
  </sheets>
  <externalReferences>
    <externalReference r:id="rId10"/>
  </externalReferences>
  <definedNames>
    <definedName name="_xlnm._FilterDatabase" localSheetId="3" hidden="1">'lot 4'!$A$4:$DG$54</definedName>
    <definedName name="_xlnm.Print_Area" localSheetId="3">'lot 4'!$A$2:$AG$52</definedName>
    <definedName name="_xlnm.Print_Area" localSheetId="4">'lot 4 FOTO'!$A$2:$AI$6</definedName>
    <definedName name="_xlnm.Print_Titles" localSheetId="3">'lot 4'!$3:$4</definedName>
  </definedNames>
  <calcPr calcId="152511"/>
</workbook>
</file>

<file path=xl/calcChain.xml><?xml version="1.0" encoding="utf-8"?>
<calcChain xmlns="http://schemas.openxmlformats.org/spreadsheetml/2006/main">
  <c r="E39" i="22" l="1"/>
  <c r="D39" i="22"/>
  <c r="E28" i="21" l="1"/>
  <c r="E27" i="21" s="1"/>
  <c r="E25" i="21"/>
  <c r="D25" i="21"/>
  <c r="F25" i="21" s="1"/>
  <c r="E24" i="21"/>
  <c r="D24" i="21"/>
  <c r="F24" i="21" s="1"/>
  <c r="E23" i="21"/>
  <c r="D23" i="21"/>
  <c r="F23" i="21" s="1"/>
  <c r="F22" i="21"/>
  <c r="E22" i="21"/>
  <c r="E21" i="21" s="1"/>
  <c r="E19" i="21"/>
  <c r="D19" i="21"/>
  <c r="E18" i="21"/>
  <c r="D18" i="21"/>
  <c r="F17" i="21"/>
  <c r="E17" i="21"/>
  <c r="D17" i="21"/>
  <c r="D20" i="21" s="1"/>
  <c r="F20" i="21" s="1"/>
  <c r="F16" i="21"/>
  <c r="F13" i="21"/>
  <c r="E13" i="21"/>
  <c r="D13" i="21"/>
  <c r="F12" i="21"/>
  <c r="F11" i="21"/>
  <c r="E11" i="21"/>
  <c r="D11" i="21"/>
  <c r="F10" i="21"/>
  <c r="E7" i="21"/>
  <c r="D7" i="21"/>
  <c r="F7" i="21" s="1"/>
  <c r="F6" i="21"/>
  <c r="E5" i="21"/>
  <c r="E8" i="21" s="1"/>
  <c r="E9" i="21" s="1"/>
  <c r="D5" i="21"/>
  <c r="G9" i="20"/>
  <c r="H9" i="20" s="1"/>
  <c r="I9" i="20" s="1"/>
  <c r="I8" i="20"/>
  <c r="H8" i="20"/>
  <c r="H7" i="20"/>
  <c r="I7" i="20" s="1"/>
  <c r="G7" i="20"/>
  <c r="D7" i="20"/>
  <c r="G6" i="20"/>
  <c r="D6" i="20"/>
  <c r="H6" i="20" s="1"/>
  <c r="I6" i="20" s="1"/>
  <c r="A6" i="20"/>
  <c r="A7" i="20" s="1"/>
  <c r="A8" i="20" s="1"/>
  <c r="A9" i="20" s="1"/>
  <c r="D5" i="20"/>
  <c r="H5" i="20" s="1"/>
  <c r="F18" i="21" l="1"/>
  <c r="D8" i="21"/>
  <c r="F8" i="21" s="1"/>
  <c r="F19" i="21"/>
  <c r="D26" i="21"/>
  <c r="F26" i="21" s="1"/>
  <c r="F28" i="21"/>
  <c r="D14" i="21"/>
  <c r="D21" i="21"/>
  <c r="F21" i="21" s="1"/>
  <c r="F5" i="21"/>
  <c r="D9" i="21"/>
  <c r="F9" i="21" s="1"/>
  <c r="E14" i="21"/>
  <c r="E15" i="21" s="1"/>
  <c r="I5" i="20"/>
  <c r="H10" i="20"/>
  <c r="I10" i="20" s="1"/>
  <c r="D10" i="20"/>
  <c r="D27" i="21" l="1"/>
  <c r="F27" i="21" s="1"/>
  <c r="E33" i="21" s="1"/>
  <c r="E37" i="21" s="1"/>
  <c r="F14" i="21"/>
  <c r="E32" i="21" s="1"/>
  <c r="D15" i="21"/>
  <c r="F15" i="21" s="1"/>
  <c r="E34" i="21" l="1"/>
  <c r="E36" i="21"/>
  <c r="E38" i="21" l="1"/>
  <c r="E40" i="21"/>
  <c r="B8" i="23" l="1"/>
  <c r="B9" i="23"/>
  <c r="B9" i="22"/>
  <c r="B10" i="22"/>
  <c r="D8" i="23"/>
  <c r="D9" i="23"/>
  <c r="C8" i="23"/>
  <c r="C9" i="23"/>
  <c r="D28" i="22"/>
  <c r="D29" i="22"/>
  <c r="D30" i="22"/>
  <c r="D31" i="22"/>
  <c r="D32" i="22"/>
  <c r="D33" i="22"/>
  <c r="D34" i="22"/>
  <c r="D35" i="22"/>
  <c r="D36" i="22"/>
  <c r="D37" i="22"/>
  <c r="D27" i="22"/>
  <c r="B28" i="22"/>
  <c r="B29" i="22"/>
  <c r="B30" i="22"/>
  <c r="B31" i="22"/>
  <c r="B32" i="22"/>
  <c r="B33" i="22"/>
  <c r="B34" i="22"/>
  <c r="B35" i="22"/>
  <c r="B36" i="22"/>
  <c r="B37" i="22"/>
  <c r="B27" i="22"/>
  <c r="C28" i="22"/>
  <c r="C29" i="22"/>
  <c r="C30" i="22"/>
  <c r="C31" i="22"/>
  <c r="C32" i="22"/>
  <c r="C33" i="22"/>
  <c r="C34" i="22"/>
  <c r="C35" i="22"/>
  <c r="C36" i="22"/>
  <c r="C37" i="22"/>
  <c r="C27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9" i="22"/>
  <c r="E17" i="15" l="1"/>
  <c r="E14" i="15"/>
  <c r="E11" i="15"/>
  <c r="E6" i="15"/>
  <c r="D14" i="15" l="1"/>
  <c r="D17" i="15"/>
  <c r="E8" i="15"/>
  <c r="D11" i="15" l="1"/>
  <c r="D8" i="15"/>
  <c r="D7" i="19" l="1"/>
  <c r="D6" i="15" s="1"/>
  <c r="G8" i="13"/>
  <c r="D8" i="13"/>
  <c r="H8" i="13" s="1"/>
  <c r="I8" i="13" s="1"/>
  <c r="G7" i="13"/>
  <c r="H7" i="13" s="1"/>
  <c r="I7" i="13" s="1"/>
  <c r="G6" i="13"/>
  <c r="H6" i="13" s="1"/>
  <c r="I6" i="13" s="1"/>
  <c r="G5" i="13"/>
  <c r="H5" i="13" s="1"/>
  <c r="O55" i="2"/>
  <c r="B7" i="19" l="1"/>
  <c r="D7" i="15" s="1"/>
  <c r="I5" i="13"/>
  <c r="H9" i="13"/>
  <c r="I9" i="13" s="1"/>
  <c r="J7" i="13" s="1"/>
  <c r="D9" i="13"/>
  <c r="J5" i="13" l="1"/>
  <c r="J6" i="13"/>
  <c r="M55" i="2" l="1"/>
  <c r="AI24" i="2" l="1"/>
  <c r="A10" i="2" l="1"/>
  <c r="A12" i="2" s="1"/>
  <c r="A15" i="2" s="1"/>
  <c r="A17" i="2" s="1"/>
  <c r="A20" i="2" s="1"/>
  <c r="A21" i="2" s="1"/>
  <c r="A23" i="2" s="1"/>
  <c r="A28" i="2" s="1"/>
  <c r="A32" i="2" s="1"/>
  <c r="A33" i="2" s="1"/>
  <c r="A6" i="7" l="1"/>
  <c r="C58" i="2" l="1"/>
  <c r="AK5" i="7" l="1"/>
  <c r="AK6" i="7"/>
  <c r="AK7" i="7"/>
  <c r="AI7" i="2"/>
  <c r="AI12" i="2"/>
  <c r="AI13" i="2"/>
  <c r="AI16" i="2"/>
  <c r="AI17" i="2"/>
  <c r="AI18" i="2"/>
  <c r="AI20" i="2"/>
  <c r="AI21" i="2"/>
  <c r="AI22" i="2"/>
  <c r="AI25" i="2"/>
  <c r="AI27" i="2"/>
  <c r="AI30" i="2"/>
  <c r="AI33" i="2"/>
  <c r="AI38" i="2"/>
  <c r="AI41" i="2"/>
  <c r="AI42" i="2"/>
  <c r="AI43" i="2"/>
  <c r="AI45" i="2"/>
  <c r="AI47" i="2"/>
  <c r="AI48" i="2"/>
  <c r="AI50" i="2"/>
  <c r="AI51" i="2"/>
  <c r="AK12" i="7" l="1"/>
  <c r="P56" i="2" l="1"/>
  <c r="AI49" i="2" l="1"/>
  <c r="AI46" i="2"/>
  <c r="AI44" i="2"/>
  <c r="AI40" i="2"/>
  <c r="AI39" i="2"/>
  <c r="AI37" i="2"/>
  <c r="AI36" i="2"/>
  <c r="AI32" i="2"/>
  <c r="AI31" i="2"/>
  <c r="AI29" i="2"/>
  <c r="AI28" i="2"/>
  <c r="AI26" i="2"/>
  <c r="AI23" i="2"/>
  <c r="AI19" i="2"/>
  <c r="AI15" i="2"/>
  <c r="AI14" i="2"/>
  <c r="AI11" i="2"/>
  <c r="AI9" i="2"/>
  <c r="AI8" i="2"/>
  <c r="C57" i="2" l="1"/>
  <c r="AI10" i="2"/>
  <c r="AI6" i="2"/>
  <c r="E9" i="15" l="1"/>
  <c r="E10" i="15"/>
  <c r="H6" i="19" l="1"/>
  <c r="D10" i="15"/>
  <c r="E13" i="15"/>
  <c r="E16" i="15" s="1"/>
  <c r="D9" i="15"/>
  <c r="D13" i="15" l="1"/>
  <c r="D16" i="15" s="1"/>
  <c r="C13" i="19" l="1"/>
  <c r="C14" i="19"/>
  <c r="C11" i="19"/>
  <c r="C12" i="19"/>
  <c r="AI55" i="2"/>
  <c r="I13" i="19" l="1"/>
  <c r="I14" i="19"/>
  <c r="I11" i="19"/>
  <c r="I12" i="19"/>
  <c r="CZ6" i="2" l="1"/>
  <c r="DE6" i="2"/>
  <c r="DF6" i="2"/>
  <c r="CZ8" i="2"/>
  <c r="DE8" i="2"/>
  <c r="DF8" i="2"/>
  <c r="DB12" i="2"/>
  <c r="DG12" i="2" s="1"/>
  <c r="DE10" i="2"/>
  <c r="DE12" i="2"/>
  <c r="DE15" i="2"/>
  <c r="DE16" i="2"/>
  <c r="DE17" i="2"/>
  <c r="DE18" i="2"/>
  <c r="DE19" i="2"/>
  <c r="DE20" i="2"/>
  <c r="DE21" i="2"/>
  <c r="DE22" i="2"/>
  <c r="DE23" i="2"/>
  <c r="DE24" i="2"/>
  <c r="DE25" i="2"/>
  <c r="DE26" i="2"/>
  <c r="DE27" i="2"/>
  <c r="DE30" i="2"/>
  <c r="DE32" i="2"/>
  <c r="DE36" i="2"/>
  <c r="DE38" i="2"/>
  <c r="DE40" i="2"/>
  <c r="DE41" i="2"/>
  <c r="DE42" i="2"/>
  <c r="DE44" i="2"/>
  <c r="DE45" i="2"/>
  <c r="DE46" i="2"/>
  <c r="DE47" i="2"/>
  <c r="DE48" i="2"/>
  <c r="DE51" i="2"/>
  <c r="DE50" i="2"/>
  <c r="CZ26" i="2"/>
  <c r="DG50" i="2"/>
  <c r="DF50" i="2"/>
  <c r="CZ10" i="2"/>
  <c r="CZ12" i="2"/>
  <c r="CZ15" i="2"/>
  <c r="CZ16" i="2"/>
  <c r="CZ17" i="2"/>
  <c r="CZ18" i="2"/>
  <c r="CZ19" i="2"/>
  <c r="CZ20" i="2"/>
  <c r="CZ21" i="2"/>
  <c r="CZ22" i="2"/>
  <c r="CZ23" i="2"/>
  <c r="CZ24" i="2"/>
  <c r="CZ25" i="2"/>
  <c r="CZ27" i="2"/>
  <c r="CZ30" i="2"/>
  <c r="CZ32" i="2"/>
  <c r="CZ36" i="2"/>
  <c r="CZ38" i="2"/>
  <c r="CZ40" i="2"/>
  <c r="CZ41" i="2"/>
  <c r="CZ42" i="2"/>
  <c r="CZ44" i="2"/>
  <c r="CZ45" i="2"/>
  <c r="CZ46" i="2"/>
  <c r="CZ47" i="2"/>
  <c r="CZ48" i="2"/>
  <c r="CZ51" i="2"/>
  <c r="DF15" i="2"/>
  <c r="DG15" i="2"/>
  <c r="DF16" i="2"/>
  <c r="DG16" i="2"/>
  <c r="DF17" i="2"/>
  <c r="DG17" i="2"/>
  <c r="DF18" i="2"/>
  <c r="DG18" i="2"/>
  <c r="DF19" i="2"/>
  <c r="DG19" i="2"/>
  <c r="DF20" i="2"/>
  <c r="DG20" i="2"/>
  <c r="DF21" i="2"/>
  <c r="DG21" i="2"/>
  <c r="DF22" i="2"/>
  <c r="DG22" i="2"/>
  <c r="DF23" i="2"/>
  <c r="DG23" i="2"/>
  <c r="DF24" i="2"/>
  <c r="DG24" i="2"/>
  <c r="DF25" i="2"/>
  <c r="DG25" i="2"/>
  <c r="DF26" i="2"/>
  <c r="DG26" i="2"/>
  <c r="DF27" i="2"/>
  <c r="DG27" i="2"/>
  <c r="DF30" i="2"/>
  <c r="DG30" i="2"/>
  <c r="DF32" i="2"/>
  <c r="DG32" i="2"/>
  <c r="DF36" i="2"/>
  <c r="DG36" i="2"/>
  <c r="DF38" i="2"/>
  <c r="DG38" i="2"/>
  <c r="DF40" i="2"/>
  <c r="DG40" i="2"/>
  <c r="DF41" i="2"/>
  <c r="DG41" i="2"/>
  <c r="DF42" i="2"/>
  <c r="DG42" i="2"/>
  <c r="DF44" i="2"/>
  <c r="DG44" i="2"/>
  <c r="DF45" i="2"/>
  <c r="DG45" i="2"/>
  <c r="DF46" i="2"/>
  <c r="DG46" i="2"/>
  <c r="DF47" i="2"/>
  <c r="DG47" i="2"/>
  <c r="DF48" i="2"/>
  <c r="DG48" i="2"/>
  <c r="DF51" i="2"/>
  <c r="DG51" i="2"/>
  <c r="DF10" i="2"/>
  <c r="DG10" i="2"/>
  <c r="DG6" i="2"/>
  <c r="DG8" i="2"/>
  <c r="DF12" i="2" l="1"/>
</calcChain>
</file>

<file path=xl/sharedStrings.xml><?xml version="1.0" encoding="utf-8"?>
<sst xmlns="http://schemas.openxmlformats.org/spreadsheetml/2006/main" count="848" uniqueCount="228">
  <si>
    <t>Denumire strada</t>
  </si>
  <si>
    <t>Tronson</t>
  </si>
  <si>
    <t>Tip sistem iluminat</t>
  </si>
  <si>
    <t xml:space="preserve">Inaltime stalpi </t>
  </si>
  <si>
    <t>unilateral</t>
  </si>
  <si>
    <t>Retragere stalpi</t>
  </si>
  <si>
    <t>Clasa de iluminat</t>
  </si>
  <si>
    <t>Imbracaminte cale rutiera</t>
  </si>
  <si>
    <t>Latime strada</t>
  </si>
  <si>
    <t>Latime trotuar</t>
  </si>
  <si>
    <t>Lungime strada</t>
  </si>
  <si>
    <t>Distanta intre stalpi</t>
  </si>
  <si>
    <t>Numar corpuri de iluminat necesare incadrarii in clasa de iluminat</t>
  </si>
  <si>
    <t xml:space="preserve">Putere corp de iluminat necesar incadrarii in clasa de iluminat </t>
  </si>
  <si>
    <t xml:space="preserve">Putere proiectata cil LED </t>
  </si>
  <si>
    <t>Coeficient reflexie</t>
  </si>
  <si>
    <t>Factor de mentinere</t>
  </si>
  <si>
    <t xml:space="preserve">Clasa de iluminat in care se incadreaza sistemul </t>
  </si>
  <si>
    <t>Numar stalpi</t>
  </si>
  <si>
    <t>Numari corpuri de iluminat existente</t>
  </si>
  <si>
    <t>CIE R3 , Q0=0.07</t>
  </si>
  <si>
    <t>asfalt</t>
  </si>
  <si>
    <t>M5</t>
  </si>
  <si>
    <t>M4</t>
  </si>
  <si>
    <t>M6</t>
  </si>
  <si>
    <t>M3</t>
  </si>
  <si>
    <t>P4</t>
  </si>
  <si>
    <t>EUROSTREET 50W</t>
  </si>
  <si>
    <t>MALAGA 100W</t>
  </si>
  <si>
    <t>TIMLUX  100W</t>
  </si>
  <si>
    <t>CIS 70W</t>
  </si>
  <si>
    <t>NORIS 125W</t>
  </si>
  <si>
    <t>LED TIP 2 70W</t>
  </si>
  <si>
    <t>EUROSTREET 250W</t>
  </si>
  <si>
    <t>MALAGA 250W</t>
  </si>
  <si>
    <t>Consum anual led proiectat kWh anual</t>
  </si>
  <si>
    <t>NR CRT</t>
  </si>
  <si>
    <t>Consum anual ipotetic extins 
kWh anual</t>
  </si>
  <si>
    <t>AVIS 125W</t>
  </si>
  <si>
    <t>Consum anual existent 
kWh anual</t>
  </si>
  <si>
    <t>AIL LED</t>
  </si>
  <si>
    <t>HPS</t>
  </si>
  <si>
    <t>%</t>
  </si>
  <si>
    <t>buc</t>
  </si>
  <si>
    <t>LED</t>
  </si>
  <si>
    <t>W</t>
  </si>
  <si>
    <t>EUROSTREET</t>
  </si>
  <si>
    <t>Nr</t>
  </si>
  <si>
    <t>Tehnologie</t>
  </si>
  <si>
    <t>Tip AIL</t>
  </si>
  <si>
    <t>Cant</t>
  </si>
  <si>
    <t>MWh/an</t>
  </si>
  <si>
    <t>Putere instalata lampa  / corp</t>
  </si>
  <si>
    <t>Putere instalata corp iluminat</t>
  </si>
  <si>
    <t>Putere instalata totala</t>
  </si>
  <si>
    <t>Energie consumata anual</t>
  </si>
  <si>
    <t>Pondere in energia total consumata</t>
  </si>
  <si>
    <t>TOTAL :</t>
  </si>
  <si>
    <t>Situatie existenta</t>
  </si>
  <si>
    <t>Situatie ipotetic extinsa</t>
  </si>
  <si>
    <t>Situatie proiectata - scenariul 1 - recomandat</t>
  </si>
  <si>
    <t xml:space="preserve">Situatie proiectata - scenariul 2 </t>
  </si>
  <si>
    <t>CARACTERISTICI ARTERA CIRCULATIE</t>
  </si>
  <si>
    <t>Clasa de iluminat
ceruta</t>
  </si>
  <si>
    <t>L
[cd/m2]</t>
  </si>
  <si>
    <t>U0</t>
  </si>
  <si>
    <t>Ul</t>
  </si>
  <si>
    <t>Ti
[%]</t>
  </si>
  <si>
    <t>EIR</t>
  </si>
  <si>
    <t xml:space="preserve">Clasa de iluminat </t>
  </si>
  <si>
    <t>SISTEM EXTINS IPOTETIC</t>
  </si>
  <si>
    <t>SISTEM EXISTENT</t>
  </si>
  <si>
    <t>SISTEM PROIECTAT - SCENARIUL 1 (RECOMANDAT)</t>
  </si>
  <si>
    <t>Nr stalpi</t>
  </si>
  <si>
    <t>Tip aparat</t>
  </si>
  <si>
    <t>Putere utila
[W]</t>
  </si>
  <si>
    <t>ERONAT</t>
  </si>
  <si>
    <t>km</t>
  </si>
  <si>
    <t>Lungime strazi ce corespund SR 13201</t>
  </si>
  <si>
    <t>Lungime strazi ce nu corespund SR 13201</t>
  </si>
  <si>
    <t>Suprafata</t>
  </si>
  <si>
    <t>De - indicator</t>
  </si>
  <si>
    <t>kWh/m2</t>
  </si>
  <si>
    <t>Existent</t>
  </si>
  <si>
    <t>Ipotetic</t>
  </si>
  <si>
    <t>Scen 1</t>
  </si>
  <si>
    <t>Scen 2</t>
  </si>
  <si>
    <t xml:space="preserve">TOTAL STRAZI </t>
  </si>
  <si>
    <t>CORESPUND SR 13201</t>
  </si>
  <si>
    <t>NU CORESPUND SR 13201</t>
  </si>
  <si>
    <t>De mediu</t>
  </si>
  <si>
    <t>Daciei</t>
  </si>
  <si>
    <t>FGS</t>
  </si>
  <si>
    <t>L / Em
[cd/m2] / [lx]</t>
  </si>
  <si>
    <t>U0 / Emin
_ / [lx]</t>
  </si>
  <si>
    <t>Putere instalata corp iluminat cu modul de telegestiune</t>
  </si>
  <si>
    <t>Calea Brasovului</t>
  </si>
  <si>
    <t>Calea Scutarului</t>
  </si>
  <si>
    <t>Lanul Garii</t>
  </si>
  <si>
    <t>Serelor</t>
  </si>
  <si>
    <t>B-dul Republicii</t>
  </si>
  <si>
    <t>Calea Marasesti</t>
  </si>
  <si>
    <t>Oituz</t>
  </si>
  <si>
    <t>Belvedere</t>
  </si>
  <si>
    <t>Mihai Bravu</t>
  </si>
  <si>
    <t>A.I.Cuza</t>
  </si>
  <si>
    <t>Emil  Rebreanu</t>
  </si>
  <si>
    <t>George Calinescu</t>
  </si>
  <si>
    <t>Libertatii</t>
  </si>
  <si>
    <t>George Bacovia</t>
  </si>
  <si>
    <t>Radu Rosetti</t>
  </si>
  <si>
    <t>Perchiului</t>
  </si>
  <si>
    <t>Buciumului</t>
  </si>
  <si>
    <t>Trotusului</t>
  </si>
  <si>
    <t>Ciresoaiei</t>
  </si>
  <si>
    <t>Pinului</t>
  </si>
  <si>
    <t>Chimistului</t>
  </si>
  <si>
    <t>Armoniei</t>
  </si>
  <si>
    <t>Mercur</t>
  </si>
  <si>
    <t>Saturn</t>
  </si>
  <si>
    <t>Culturii</t>
  </si>
  <si>
    <t>Stirenului</t>
  </si>
  <si>
    <t>Sintezei</t>
  </si>
  <si>
    <t>Tineretului</t>
  </si>
  <si>
    <t>C.D. Gherea</t>
  </si>
  <si>
    <t>Postei</t>
  </si>
  <si>
    <t>Victor Babes</t>
  </si>
  <si>
    <t>Casinului</t>
  </si>
  <si>
    <t>Aleea Podul Alb</t>
  </si>
  <si>
    <t>Apollo</t>
  </si>
  <si>
    <t>Aurora</t>
  </si>
  <si>
    <t>Republicii - Perchiului</t>
  </si>
  <si>
    <t>Perchiului - Calea Brasovului</t>
  </si>
  <si>
    <t>tr 1</t>
  </si>
  <si>
    <t>tr 2</t>
  </si>
  <si>
    <t>tr1</t>
  </si>
  <si>
    <t>tr2</t>
  </si>
  <si>
    <t>TR1</t>
  </si>
  <si>
    <t>TR2</t>
  </si>
  <si>
    <t>tr 1 republicii - oituz</t>
  </si>
  <si>
    <t>tr 2 republicii - casinului</t>
  </si>
  <si>
    <t>tr 1 m. bravu - mihai bravu</t>
  </si>
  <si>
    <t>tr 2 tronson spre AI Cuza</t>
  </si>
  <si>
    <t>ORN 134</t>
  </si>
  <si>
    <t>ORN 153</t>
  </si>
  <si>
    <t>ORN 52</t>
  </si>
  <si>
    <t>Campului</t>
  </si>
  <si>
    <t>Tanorkapu</t>
  </si>
  <si>
    <t>Cantonului</t>
  </si>
  <si>
    <t>Principala</t>
  </si>
  <si>
    <t>Cimitirului</t>
  </si>
  <si>
    <t>Peles</t>
  </si>
  <si>
    <t>Bisericii</t>
  </si>
  <si>
    <t>Scolii</t>
  </si>
  <si>
    <t>Mica</t>
  </si>
  <si>
    <t>Dealul Rozelor</t>
  </si>
  <si>
    <t>Salciilor</t>
  </si>
  <si>
    <t>Liliacului</t>
  </si>
  <si>
    <t>Oltului</t>
  </si>
  <si>
    <t>Podului</t>
  </si>
  <si>
    <t>Trandafirilor</t>
  </si>
  <si>
    <t>Szilagyi Samuel</t>
  </si>
  <si>
    <t>Interioara</t>
  </si>
  <si>
    <t>Tronson 2</t>
  </si>
  <si>
    <t>Tronson 3</t>
  </si>
  <si>
    <t>Tronson 4</t>
  </si>
  <si>
    <t>Tronson 5</t>
  </si>
  <si>
    <t>Tronson 6</t>
  </si>
  <si>
    <t>Tronson 7</t>
  </si>
  <si>
    <t>Tronson 8</t>
  </si>
  <si>
    <t>Tronson 9</t>
  </si>
  <si>
    <t>Tronson 10</t>
  </si>
  <si>
    <t>Tronson 11</t>
  </si>
  <si>
    <t>Tronson 12</t>
  </si>
  <si>
    <t>COMUNA COSENI</t>
  </si>
  <si>
    <t>COMUNA CHILIENI</t>
  </si>
  <si>
    <t>2.5 squar</t>
  </si>
  <si>
    <t>axial</t>
  </si>
  <si>
    <t>HPS 70W</t>
  </si>
  <si>
    <t>HPS 150W</t>
  </si>
  <si>
    <t>HG 125W</t>
  </si>
  <si>
    <t>CFL 2x36W</t>
  </si>
  <si>
    <t>HG</t>
  </si>
  <si>
    <t>Tronson 1</t>
  </si>
  <si>
    <t>CFL</t>
  </si>
  <si>
    <t>Destinatie / Tehnologie</t>
  </si>
  <si>
    <t>Iluminat stradal / Vapori mercur la înaltă presiune</t>
  </si>
  <si>
    <t>Iluminat stradal /Fluorescent</t>
  </si>
  <si>
    <t>Iluminat stradal / Vapori sodiu la înaltă presiune</t>
  </si>
  <si>
    <t>LOT 4</t>
  </si>
  <si>
    <t>LOT 4 fotovoltaic</t>
  </si>
  <si>
    <t>BILANTUL ENERGETIC - MUNICIPIUL SFANTU GHEORGHE - LOT 4</t>
  </si>
  <si>
    <t>LOT 4 - fotovoltaic</t>
  </si>
  <si>
    <t>TOTAL</t>
  </si>
  <si>
    <t>Energie utila flux luminos</t>
  </si>
  <si>
    <t>kWh/an</t>
  </si>
  <si>
    <t>Energie utila sistem telegestiune</t>
  </si>
  <si>
    <t>Pierderi energie in efect electromagnetic</t>
  </si>
  <si>
    <t>Pierderi energie in efect Joule</t>
  </si>
  <si>
    <t>Energie consumata din retea</t>
  </si>
  <si>
    <t>Energie produsa in sistem fotovoltaic</t>
  </si>
  <si>
    <t>Consum energie finala - SITUATIE IPOTETIC EXTINSA - TOTAL (kWh / an) :</t>
  </si>
  <si>
    <t>kWh /an</t>
  </si>
  <si>
    <t>Consum energie finala - SITUATIE PROIECTATA - TOTAL (kWh / an) :</t>
  </si>
  <si>
    <t>Scaderea consumului anual de energie primara in iluminat :</t>
  </si>
  <si>
    <t>Emisii CO2 - SITUATIE IPOTETIC EXTINSA - TOTAL (t CO2 / an) :</t>
  </si>
  <si>
    <t>t CO2 /an</t>
  </si>
  <si>
    <t>Emisii CO2 - SITUATIE PROIECTATA - TOTAL (t CO2 / an) :</t>
  </si>
  <si>
    <t>Scaderea anuala estimata a gazelor cu efect de sera (echiv. T CO2) :</t>
  </si>
  <si>
    <t>Scaderea emisiilor CO2 raportat la emisiile initiale % :</t>
  </si>
  <si>
    <t>BILANTUL LUMINOTEHNIC - MUNICIPIUL SFANTU GHEORGHE - COMUNELE CHILIENI SI COSENI</t>
  </si>
  <si>
    <t>LED 30W</t>
  </si>
  <si>
    <t>LED 40W</t>
  </si>
  <si>
    <t>LED 50W</t>
  </si>
  <si>
    <t>AUDIT LUMINOTEHNIC - SFANTU GHEORGHE - LOT 4 - COMUNELE CHILIENI SI COSENI</t>
  </si>
  <si>
    <t>AUDIT LUMINOTEHNIC - SFANTU GHEORGHE - LOT 4 FOTOVOLTAIC</t>
  </si>
  <si>
    <t>Indicator proiect 
(suplimentari, în funcție de ce se realizează prin proiect)</t>
  </si>
  <si>
    <t>SITUATIE</t>
  </si>
  <si>
    <t>OBIECTIV</t>
  </si>
  <si>
    <t>Valoarea indicatorului la  inceputul implementarii proiectului</t>
  </si>
  <si>
    <t>Valoarea indicatorului la  finalul implementării proiectului (de output)</t>
  </si>
  <si>
    <t>Valoare 1</t>
  </si>
  <si>
    <t>Valoare 2</t>
  </si>
  <si>
    <t>Nivel de iluminare mediu (lx)[1]</t>
  </si>
  <si>
    <t>Nivel de luminanță medie menținută minimă (cd/m2)[2]</t>
  </si>
  <si>
    <t>INDICATORI PROIECT - SFANTU GHEORGHE - LOT 4 - COMUNELE CHILIENI SI COSENI</t>
  </si>
  <si>
    <t>INDICATORI PROIECT - SFANTU GHEORGHE - LOT 4 FOTOVOLTAIC - COMUNELE CHILIENI SI COSENI</t>
  </si>
  <si>
    <t>LED FOTOVOLTAIC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</si>
</sst>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8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1"/>
      <name val="Times New Roman"/>
      <family val="1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7" fillId="0" borderId="0" xfId="0" applyFont="1"/>
    <xf numFmtId="0" fontId="7" fillId="0" borderId="19" xfId="0" applyFont="1" applyBorder="1"/>
    <xf numFmtId="0" fontId="7" fillId="0" borderId="0" xfId="0" applyFont="1" applyAlignment="1">
      <alignment wrapText="1"/>
    </xf>
    <xf numFmtId="0" fontId="7" fillId="0" borderId="24" xfId="0" applyFont="1" applyBorder="1" applyAlignment="1">
      <alignment wrapText="1"/>
    </xf>
    <xf numFmtId="0" fontId="7" fillId="0" borderId="39" xfId="0" applyFont="1" applyBorder="1"/>
    <xf numFmtId="0" fontId="7" fillId="0" borderId="34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2" fontId="7" fillId="0" borderId="0" xfId="0" applyNumberFormat="1" applyFont="1"/>
    <xf numFmtId="2" fontId="7" fillId="0" borderId="37" xfId="0" applyNumberFormat="1" applyFont="1" applyBorder="1" applyAlignment="1">
      <alignment horizontal="center" vertical="center" wrapText="1"/>
    </xf>
    <xf numFmtId="2" fontId="7" fillId="0" borderId="21" xfId="0" applyNumberFormat="1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4" fontId="12" fillId="0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0" xfId="0" applyFill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4" fontId="0" fillId="0" borderId="0" xfId="0" applyNumberFormat="1" applyFill="1"/>
    <xf numFmtId="2" fontId="7" fillId="0" borderId="38" xfId="0" applyNumberFormat="1" applyFont="1" applyFill="1" applyBorder="1"/>
    <xf numFmtId="2" fontId="7" fillId="0" borderId="3" xfId="0" applyNumberFormat="1" applyFont="1" applyFill="1" applyBorder="1"/>
    <xf numFmtId="2" fontId="7" fillId="0" borderId="18" xfId="0" applyNumberFormat="1" applyFont="1" applyFill="1" applyBorder="1"/>
    <xf numFmtId="2" fontId="7" fillId="0" borderId="6" xfId="0" applyNumberFormat="1" applyFont="1" applyFill="1" applyBorder="1"/>
    <xf numFmtId="2" fontId="7" fillId="0" borderId="8" xfId="0" applyNumberFormat="1" applyFont="1" applyFill="1" applyBorder="1"/>
    <xf numFmtId="2" fontId="7" fillId="0" borderId="34" xfId="0" applyNumberFormat="1" applyFont="1" applyFill="1" applyBorder="1"/>
    <xf numFmtId="2" fontId="7" fillId="0" borderId="32" xfId="0" applyNumberFormat="1" applyFont="1" applyFill="1" applyBorder="1"/>
    <xf numFmtId="2" fontId="7" fillId="0" borderId="17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/>
    <xf numFmtId="0" fontId="4" fillId="0" borderId="14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3" fontId="0" fillId="0" borderId="15" xfId="0" applyNumberFormat="1" applyFont="1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47" xfId="0" applyFill="1" applyBorder="1" applyAlignment="1">
      <alignment vertical="center"/>
    </xf>
    <xf numFmtId="3" fontId="0" fillId="0" borderId="48" xfId="0" applyNumberFormat="1" applyFill="1" applyBorder="1" applyAlignment="1">
      <alignment horizontal="center" vertical="center"/>
    </xf>
    <xf numFmtId="0" fontId="0" fillId="0" borderId="16" xfId="0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0" fillId="0" borderId="16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4" fillId="0" borderId="14" xfId="0" applyFont="1" applyFill="1" applyBorder="1" applyAlignment="1">
      <alignment horizontal="left"/>
    </xf>
    <xf numFmtId="0" fontId="0" fillId="4" borderId="0" xfId="0" applyFill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 wrapText="1"/>
    </xf>
    <xf numFmtId="0" fontId="0" fillId="0" borderId="15" xfId="0" applyFill="1" applyBorder="1" applyAlignment="1">
      <alignment vertical="center"/>
    </xf>
    <xf numFmtId="2" fontId="0" fillId="0" borderId="0" xfId="0" applyNumberForma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4" xfId="0" applyFont="1" applyFill="1" applyBorder="1" applyAlignment="1"/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/>
    </xf>
    <xf numFmtId="2" fontId="10" fillId="0" borderId="15" xfId="0" applyNumberFormat="1" applyFont="1" applyFill="1" applyBorder="1" applyAlignment="1">
      <alignment horizontal="center"/>
    </xf>
    <xf numFmtId="0" fontId="8" fillId="0" borderId="0" xfId="0" applyFont="1" applyFill="1" applyAlignment="1"/>
    <xf numFmtId="0" fontId="7" fillId="0" borderId="0" xfId="0" applyFont="1" applyFill="1"/>
    <xf numFmtId="3" fontId="7" fillId="0" borderId="0" xfId="0" applyNumberFormat="1" applyFont="1"/>
    <xf numFmtId="0" fontId="7" fillId="0" borderId="24" xfId="0" applyFont="1" applyBorder="1" applyAlignment="1">
      <alignment horizontal="center" wrapText="1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3" fontId="7" fillId="0" borderId="52" xfId="0" applyNumberFormat="1" applyFont="1" applyBorder="1" applyAlignment="1">
      <alignment horizontal="center" vertical="center" wrapText="1"/>
    </xf>
    <xf numFmtId="3" fontId="7" fillId="0" borderId="25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3" fontId="7" fillId="0" borderId="12" xfId="0" applyNumberFormat="1" applyFont="1" applyBorder="1"/>
    <xf numFmtId="3" fontId="7" fillId="0" borderId="53" xfId="0" applyNumberFormat="1" applyFont="1" applyBorder="1"/>
    <xf numFmtId="0" fontId="7" fillId="0" borderId="3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3" fontId="7" fillId="0" borderId="13" xfId="0" applyNumberFormat="1" applyFont="1" applyBorder="1"/>
    <xf numFmtId="3" fontId="7" fillId="0" borderId="54" xfId="0" applyNumberFormat="1" applyFont="1" applyBorder="1"/>
    <xf numFmtId="3" fontId="7" fillId="0" borderId="55" xfId="0" applyNumberFormat="1" applyFont="1" applyBorder="1"/>
    <xf numFmtId="0" fontId="7" fillId="0" borderId="36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3" fontId="7" fillId="0" borderId="57" xfId="0" applyNumberFormat="1" applyFont="1" applyBorder="1"/>
    <xf numFmtId="3" fontId="7" fillId="0" borderId="56" xfId="0" applyNumberFormat="1" applyFont="1" applyBorder="1"/>
    <xf numFmtId="3" fontId="7" fillId="0" borderId="26" xfId="0" applyNumberFormat="1" applyFont="1" applyBorder="1"/>
    <xf numFmtId="3" fontId="7" fillId="0" borderId="34" xfId="0" applyNumberFormat="1" applyFont="1" applyBorder="1" applyAlignment="1">
      <alignment horizontal="center"/>
    </xf>
    <xf numFmtId="3" fontId="7" fillId="0" borderId="32" xfId="0" applyNumberFormat="1" applyFont="1" applyBorder="1" applyAlignment="1">
      <alignment horizontal="center"/>
    </xf>
    <xf numFmtId="3" fontId="16" fillId="0" borderId="56" xfId="0" applyNumberFormat="1" applyFont="1" applyBorder="1"/>
    <xf numFmtId="3" fontId="16" fillId="0" borderId="33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5" xfId="0" applyNumberFormat="1" applyFont="1" applyBorder="1"/>
    <xf numFmtId="3" fontId="7" fillId="0" borderId="6" xfId="0" applyNumberFormat="1" applyFont="1" applyBorder="1" applyAlignment="1">
      <alignment horizontal="center"/>
    </xf>
    <xf numFmtId="3" fontId="7" fillId="0" borderId="1" xfId="0" applyNumberFormat="1" applyFont="1" applyBorder="1"/>
    <xf numFmtId="3" fontId="7" fillId="0" borderId="8" xfId="0" applyNumberFormat="1" applyFont="1" applyBorder="1" applyAlignment="1">
      <alignment horizontal="center"/>
    </xf>
    <xf numFmtId="3" fontId="16" fillId="0" borderId="16" xfId="0" applyNumberFormat="1" applyFont="1" applyBorder="1"/>
    <xf numFmtId="3" fontId="16" fillId="0" borderId="17" xfId="0" applyNumberFormat="1" applyFont="1" applyBorder="1" applyAlignment="1">
      <alignment horizontal="center"/>
    </xf>
    <xf numFmtId="10" fontId="16" fillId="0" borderId="21" xfId="0" applyNumberFormat="1" applyFont="1" applyBorder="1"/>
    <xf numFmtId="10" fontId="7" fillId="0" borderId="0" xfId="0" applyNumberFormat="1" applyFont="1"/>
    <xf numFmtId="0" fontId="10" fillId="0" borderId="4" xfId="0" applyFont="1" applyFill="1" applyBorder="1"/>
    <xf numFmtId="0" fontId="10" fillId="0" borderId="6" xfId="0" applyFont="1" applyFill="1" applyBorder="1"/>
    <xf numFmtId="0" fontId="10" fillId="0" borderId="24" xfId="0" applyFont="1" applyFill="1" applyBorder="1"/>
    <xf numFmtId="0" fontId="10" fillId="0" borderId="25" xfId="0" applyFont="1" applyFill="1" applyBorder="1" applyAlignment="1">
      <alignment horizontal="center"/>
    </xf>
    <xf numFmtId="0" fontId="11" fillId="0" borderId="7" xfId="0" applyFont="1" applyFill="1" applyBorder="1" applyAlignment="1">
      <alignment vertical="center" wrapText="1"/>
    </xf>
    <xf numFmtId="2" fontId="10" fillId="0" borderId="8" xfId="0" applyNumberFormat="1" applyFont="1" applyFill="1" applyBorder="1"/>
    <xf numFmtId="0" fontId="11" fillId="0" borderId="22" xfId="0" applyFont="1" applyFill="1" applyBorder="1" applyAlignment="1">
      <alignment horizontal="center" vertical="center" wrapText="1"/>
    </xf>
    <xf numFmtId="2" fontId="10" fillId="0" borderId="23" xfId="0" applyNumberFormat="1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 vertical="center" wrapText="1"/>
    </xf>
    <xf numFmtId="2" fontId="10" fillId="0" borderId="25" xfId="0" applyNumberFormat="1" applyFont="1" applyFill="1" applyBorder="1" applyAlignment="1">
      <alignment horizontal="center"/>
    </xf>
    <xf numFmtId="0" fontId="11" fillId="0" borderId="15" xfId="0" applyFont="1" applyFill="1" applyBorder="1" applyAlignment="1">
      <alignment vertical="center" wrapText="1"/>
    </xf>
    <xf numFmtId="0" fontId="17" fillId="0" borderId="9" xfId="0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/>
    <xf numFmtId="3" fontId="6" fillId="0" borderId="1" xfId="0" applyNumberFormat="1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4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3" fontId="12" fillId="0" borderId="1" xfId="0" applyNumberFormat="1" applyFont="1" applyFill="1" applyBorder="1" applyAlignment="1" applyProtection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/>
    </xf>
    <xf numFmtId="0" fontId="2" fillId="0" borderId="0" xfId="0" applyFont="1" applyFill="1"/>
    <xf numFmtId="2" fontId="0" fillId="0" borderId="0" xfId="0" applyNumberFormat="1" applyFill="1"/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16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0" fontId="0" fillId="0" borderId="4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2" fontId="10" fillId="0" borderId="15" xfId="0" applyNumberFormat="1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8" fillId="0" borderId="0" xfId="0" applyFont="1" applyFill="1" applyAlignment="1">
      <alignment horizont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/>
    </xf>
    <xf numFmtId="0" fontId="16" fillId="0" borderId="52" xfId="0" applyFont="1" applyBorder="1" applyAlignment="1">
      <alignment horizontal="center"/>
    </xf>
    <xf numFmtId="0" fontId="16" fillId="0" borderId="37" xfId="0" applyFont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4" fillId="0" borderId="14" xfId="0" applyFont="1" applyFill="1" applyBorder="1" applyAlignment="1">
      <alignment horizontal="left" vertical="center" wrapText="1"/>
    </xf>
    <xf numFmtId="0" fontId="14" fillId="0" borderId="48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14" fillId="0" borderId="51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5" fillId="0" borderId="59" xfId="0" applyFont="1" applyFill="1" applyBorder="1" applyAlignment="1">
      <alignment horizontal="center" vertical="center" wrapText="1"/>
    </xf>
    <xf numFmtId="0" fontId="5" fillId="0" borderId="58" xfId="0" applyFont="1" applyFill="1" applyBorder="1" applyAlignment="1">
      <alignment horizontal="center" vertical="center" wrapText="1"/>
    </xf>
    <xf numFmtId="0" fontId="5" fillId="0" borderId="60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SRO/SF%20GHEORGHE%20lot%204/AUDIT%20ENERGETIC/AUDIT%20ENERGETIC%20SF%20GHEORGHE%20LOT%204%20V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tori 2"/>
      <sheetName val="Indicatori"/>
      <sheetName val="ACB"/>
      <sheetName val="bilant"/>
      <sheetName val="lot 4"/>
      <sheetName val="lot 4 foto"/>
      <sheetName val="AIL EXISTENT"/>
      <sheetName val="AIL PROIECTAT"/>
      <sheetName val="DG LED"/>
      <sheetName val="DG SODIU"/>
      <sheetName val="Energie"/>
      <sheetName val="Intretinere"/>
      <sheetName val="Existent"/>
      <sheetName val="Proiectat"/>
    </sheetNames>
    <sheetDataSet>
      <sheetData sheetId="0"/>
      <sheetData sheetId="1"/>
      <sheetData sheetId="2"/>
      <sheetData sheetId="3"/>
      <sheetData sheetId="4">
        <row r="7">
          <cell r="V7">
            <v>10</v>
          </cell>
        </row>
        <row r="8">
          <cell r="V8">
            <v>6</v>
          </cell>
        </row>
        <row r="9">
          <cell r="V9">
            <v>10</v>
          </cell>
        </row>
        <row r="10">
          <cell r="V10">
            <v>9</v>
          </cell>
        </row>
        <row r="12">
          <cell r="V12">
            <v>9</v>
          </cell>
        </row>
        <row r="14">
          <cell r="V14">
            <v>7</v>
          </cell>
        </row>
        <row r="15">
          <cell r="V15">
            <v>9</v>
          </cell>
        </row>
        <row r="17">
          <cell r="V17">
            <v>6</v>
          </cell>
        </row>
        <row r="19">
          <cell r="V19">
            <v>5</v>
          </cell>
        </row>
        <row r="20">
          <cell r="V20">
            <v>8</v>
          </cell>
        </row>
        <row r="23">
          <cell r="V23">
            <v>6</v>
          </cell>
        </row>
        <row r="25">
          <cell r="V25">
            <v>15</v>
          </cell>
        </row>
        <row r="27">
          <cell r="V27">
            <v>10</v>
          </cell>
        </row>
        <row r="28">
          <cell r="V28">
            <v>5</v>
          </cell>
        </row>
        <row r="30">
          <cell r="V30">
            <v>3</v>
          </cell>
        </row>
        <row r="31">
          <cell r="V31">
            <v>8</v>
          </cell>
        </row>
        <row r="32">
          <cell r="V32">
            <v>10</v>
          </cell>
        </row>
        <row r="36">
          <cell r="V36">
            <v>10</v>
          </cell>
        </row>
        <row r="37">
          <cell r="V37">
            <v>11</v>
          </cell>
        </row>
        <row r="38">
          <cell r="V38">
            <v>12</v>
          </cell>
        </row>
        <row r="41">
          <cell r="V41">
            <v>7</v>
          </cell>
        </row>
        <row r="43">
          <cell r="V43">
            <v>5</v>
          </cell>
        </row>
        <row r="45">
          <cell r="V45">
            <v>17</v>
          </cell>
        </row>
        <row r="48">
          <cell r="V48">
            <v>5</v>
          </cell>
        </row>
        <row r="49">
          <cell r="V49">
            <v>4</v>
          </cell>
        </row>
        <row r="50">
          <cell r="V50">
            <v>3</v>
          </cell>
        </row>
        <row r="51">
          <cell r="V51">
            <v>11</v>
          </cell>
        </row>
        <row r="52">
          <cell r="V52">
            <v>7</v>
          </cell>
        </row>
        <row r="56">
          <cell r="I56">
            <v>46610.076000000001</v>
          </cell>
          <cell r="J56">
            <v>6925.3885000000018</v>
          </cell>
          <cell r="Q56">
            <v>103213.03000000003</v>
          </cell>
          <cell r="R56">
            <v>15510.418000000001</v>
          </cell>
          <cell r="Z56">
            <v>33656.14</v>
          </cell>
          <cell r="AA56">
            <v>3994.5599999999986</v>
          </cell>
          <cell r="AB56">
            <v>0</v>
          </cell>
          <cell r="AJ56">
            <v>59666.74</v>
          </cell>
          <cell r="AK56">
            <v>3994.5599999999986</v>
          </cell>
          <cell r="AL56">
            <v>10008.204499999998</v>
          </cell>
        </row>
      </sheetData>
      <sheetData sheetId="5">
        <row r="8">
          <cell r="H8">
            <v>0</v>
          </cell>
          <cell r="I8">
            <v>0</v>
          </cell>
          <cell r="P8">
            <v>2846.3500000000004</v>
          </cell>
          <cell r="Q8">
            <v>455.416</v>
          </cell>
          <cell r="Y8">
            <v>1773.45</v>
          </cell>
          <cell r="Z8">
            <v>227.76</v>
          </cell>
          <cell r="AA8">
            <v>0</v>
          </cell>
          <cell r="AI8">
            <v>2561.6499999999996</v>
          </cell>
          <cell r="AJ8">
            <v>227.76</v>
          </cell>
          <cell r="AK8">
            <v>455.416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mail.google.com/mail/u/0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5"/>
  <sheetViews>
    <sheetView topLeftCell="A4" workbookViewId="0">
      <selection activeCell="C11" sqref="C11"/>
    </sheetView>
  </sheetViews>
  <sheetFormatPr defaultRowHeight="14.5" x14ac:dyDescent="0.35"/>
  <cols>
    <col min="2" max="2" width="23.54296875" customWidth="1"/>
    <col min="3" max="3" width="10" customWidth="1"/>
    <col min="4" max="4" width="20.453125" customWidth="1"/>
    <col min="8" max="8" width="51.81640625" customWidth="1"/>
    <col min="9" max="9" width="14.453125" customWidth="1"/>
  </cols>
  <sheetData>
    <row r="3" spans="2:9" ht="15" thickBot="1" x14ac:dyDescent="0.4"/>
    <row r="4" spans="2:9" ht="18.5" x14ac:dyDescent="0.45">
      <c r="B4" s="243" t="s">
        <v>87</v>
      </c>
      <c r="C4" s="245"/>
      <c r="D4" s="245"/>
      <c r="E4" s="244"/>
      <c r="F4" s="10"/>
      <c r="G4" s="10"/>
      <c r="H4" s="10"/>
      <c r="I4" s="10"/>
    </row>
    <row r="5" spans="2:9" ht="19" thickBot="1" x14ac:dyDescent="0.5">
      <c r="B5" s="246">
        <v>8.23</v>
      </c>
      <c r="C5" s="247"/>
      <c r="D5" s="247"/>
      <c r="E5" s="118" t="s">
        <v>77</v>
      </c>
      <c r="F5" s="10"/>
      <c r="G5" s="10"/>
      <c r="H5" s="10"/>
      <c r="I5" s="10"/>
    </row>
    <row r="6" spans="2:9" ht="18.5" x14ac:dyDescent="0.45">
      <c r="B6" s="243" t="s">
        <v>88</v>
      </c>
      <c r="C6" s="244"/>
      <c r="D6" s="243" t="s">
        <v>89</v>
      </c>
      <c r="E6" s="244"/>
      <c r="F6" s="10"/>
      <c r="G6" s="10"/>
      <c r="H6" s="10">
        <f>B7/(B7+D7)</f>
        <v>0.57047387606318345</v>
      </c>
      <c r="I6" s="10"/>
    </row>
    <row r="7" spans="2:9" ht="19" thickBot="1" x14ac:dyDescent="0.5">
      <c r="B7" s="119">
        <f>B5-D7</f>
        <v>4.6950000000000003</v>
      </c>
      <c r="C7" s="118" t="s">
        <v>77</v>
      </c>
      <c r="D7" s="119">
        <f>('lot 4'!C8+'lot 4'!C9+'lot 4'!C11+'lot 4'!C13+'lot 4'!C14+'lot 4'!C16+'lot 4'!C19+'lot 4'!C22+'lot 4'!C25+'lot 4'!C37+'lot 4'!C47+'lot 4'!C48+'lot 4'!C51)/1000</f>
        <v>3.5350000000000001</v>
      </c>
      <c r="E7" s="118" t="s">
        <v>77</v>
      </c>
      <c r="F7" s="10"/>
      <c r="G7" s="10"/>
      <c r="H7" s="10"/>
      <c r="I7" s="10"/>
    </row>
    <row r="8" spans="2:9" x14ac:dyDescent="0.35">
      <c r="B8" s="10"/>
      <c r="C8" s="10"/>
      <c r="D8" s="10"/>
      <c r="E8" s="10"/>
      <c r="F8" s="10"/>
      <c r="G8" s="10"/>
      <c r="H8" s="10"/>
      <c r="I8" s="10"/>
    </row>
    <row r="9" spans="2:9" s="10" customFormat="1" ht="15" thickBot="1" x14ac:dyDescent="0.4"/>
    <row r="10" spans="2:9" s="10" customFormat="1" ht="19" thickBot="1" x14ac:dyDescent="0.5">
      <c r="B10" s="155"/>
      <c r="C10" s="156" t="s">
        <v>90</v>
      </c>
      <c r="H10" s="157"/>
      <c r="I10" s="158" t="s">
        <v>90</v>
      </c>
    </row>
    <row r="11" spans="2:9" s="10" customFormat="1" ht="31.5" customHeight="1" thickBot="1" x14ac:dyDescent="0.5">
      <c r="B11" s="159" t="s">
        <v>58</v>
      </c>
      <c r="C11" s="160">
        <f>(bilant!D8*bilant!D16+bilant!E8*bilant!E16)/(bilant!D16+bilant!E16)</f>
        <v>1.1425103128024898</v>
      </c>
      <c r="H11" s="161" t="s">
        <v>58</v>
      </c>
      <c r="I11" s="162">
        <f>C11</f>
        <v>1.1425103128024898</v>
      </c>
    </row>
    <row r="12" spans="2:9" s="10" customFormat="1" ht="40.5" customHeight="1" thickBot="1" x14ac:dyDescent="0.5">
      <c r="B12" s="159" t="s">
        <v>59</v>
      </c>
      <c r="C12" s="160">
        <f>(bilant!D11*bilant!D16+bilant!E11*bilant!E16)/(bilant!D16+bilant!E16)</f>
        <v>2.5896383254981448</v>
      </c>
      <c r="H12" s="163" t="s">
        <v>59</v>
      </c>
      <c r="I12" s="164">
        <f>C12</f>
        <v>2.5896383254981448</v>
      </c>
    </row>
    <row r="13" spans="2:9" s="10" customFormat="1" ht="44.5" customHeight="1" thickBot="1" x14ac:dyDescent="0.5">
      <c r="B13" s="159" t="s">
        <v>61</v>
      </c>
      <c r="C13" s="160">
        <f>(bilant!D14*bilant!D16+bilant!E14*bilant!E16)/(bilant!D16+bilant!E16)</f>
        <v>1.6255678460544822</v>
      </c>
      <c r="H13" s="161" t="s">
        <v>61</v>
      </c>
      <c r="I13" s="162">
        <f>C13</f>
        <v>1.6255678460544822</v>
      </c>
    </row>
    <row r="14" spans="2:9" s="10" customFormat="1" ht="50.5" customHeight="1" thickBot="1" x14ac:dyDescent="0.5">
      <c r="B14" s="165" t="s">
        <v>60</v>
      </c>
      <c r="C14" s="160">
        <f>(bilant!D17*bilant!D16+bilant!E17*bilant!E16)/(bilant!D16+bilant!E16)</f>
        <v>0.8364279420487476</v>
      </c>
      <c r="H14" s="163" t="s">
        <v>60</v>
      </c>
      <c r="I14" s="164">
        <f>C14</f>
        <v>0.8364279420487476</v>
      </c>
    </row>
    <row r="15" spans="2:9" x14ac:dyDescent="0.35">
      <c r="B15" s="1"/>
    </row>
  </sheetData>
  <mergeCells count="4">
    <mergeCell ref="B6:C6"/>
    <mergeCell ref="D6:E6"/>
    <mergeCell ref="B4:E4"/>
    <mergeCell ref="B5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topLeftCell="A4" zoomScaleNormal="100" workbookViewId="0">
      <selection activeCell="D11" sqref="D11"/>
    </sheetView>
  </sheetViews>
  <sheetFormatPr defaultColWidth="8.7265625" defaultRowHeight="15.5" x14ac:dyDescent="0.35"/>
  <cols>
    <col min="1" max="1" width="15.1796875" style="14" customWidth="1"/>
    <col min="2" max="2" width="44.453125" style="12" customWidth="1"/>
    <col min="3" max="3" width="9.1796875" style="12" customWidth="1"/>
    <col min="4" max="4" width="10.81640625" style="30" bestFit="1" customWidth="1"/>
    <col min="5" max="5" width="12.81640625" style="30" customWidth="1"/>
    <col min="6" max="7" width="8.7265625" style="12"/>
    <col min="8" max="8" width="15.81640625" style="12" bestFit="1" customWidth="1"/>
    <col min="9" max="16384" width="8.7265625" style="12"/>
  </cols>
  <sheetData>
    <row r="2" spans="1:5" ht="42" customHeight="1" x14ac:dyDescent="0.4">
      <c r="A2" s="248" t="s">
        <v>210</v>
      </c>
      <c r="B2" s="248"/>
      <c r="C2" s="248"/>
      <c r="D2" s="248"/>
      <c r="E2" s="248"/>
    </row>
    <row r="4" spans="1:5" ht="16" thickBot="1" x14ac:dyDescent="0.4"/>
    <row r="5" spans="1:5" ht="32.5" customHeight="1" thickBot="1" x14ac:dyDescent="0.4">
      <c r="A5" s="15"/>
      <c r="B5" s="13"/>
      <c r="C5" s="16"/>
      <c r="D5" s="31" t="s">
        <v>189</v>
      </c>
      <c r="E5" s="32" t="s">
        <v>190</v>
      </c>
    </row>
    <row r="6" spans="1:5" x14ac:dyDescent="0.35">
      <c r="A6" s="249" t="s">
        <v>58</v>
      </c>
      <c r="B6" s="22" t="s">
        <v>79</v>
      </c>
      <c r="C6" s="17" t="s">
        <v>77</v>
      </c>
      <c r="D6" s="45">
        <f>Sheet1!D7</f>
        <v>3.5350000000000001</v>
      </c>
      <c r="E6" s="48">
        <f>13*35/1000</f>
        <v>0.45500000000000002</v>
      </c>
    </row>
    <row r="7" spans="1:5" x14ac:dyDescent="0.35">
      <c r="A7" s="250"/>
      <c r="B7" s="21" t="s">
        <v>78</v>
      </c>
      <c r="C7" s="18" t="s">
        <v>77</v>
      </c>
      <c r="D7" s="46">
        <f>Sheet1!B7</f>
        <v>4.6950000000000003</v>
      </c>
      <c r="E7" s="49">
        <v>0</v>
      </c>
    </row>
    <row r="8" spans="1:5" ht="16" thickBot="1" x14ac:dyDescent="0.4">
      <c r="A8" s="250"/>
      <c r="B8" s="21" t="s">
        <v>81</v>
      </c>
      <c r="C8" s="18" t="s">
        <v>82</v>
      </c>
      <c r="D8" s="46">
        <f>'bilant energetic'!D9/'lot 4'!AI55</f>
        <v>1.2056746132065157</v>
      </c>
      <c r="E8" s="49">
        <f>'bilant energetic'!E9/(13*35*7)</f>
        <v>0</v>
      </c>
    </row>
    <row r="9" spans="1:5" x14ac:dyDescent="0.35">
      <c r="A9" s="249" t="s">
        <v>59</v>
      </c>
      <c r="B9" s="22" t="s">
        <v>79</v>
      </c>
      <c r="C9" s="17" t="s">
        <v>77</v>
      </c>
      <c r="D9" s="45">
        <f t="shared" ref="D9:D10" si="0">D6</f>
        <v>3.5350000000000001</v>
      </c>
      <c r="E9" s="50">
        <f t="shared" ref="E9" si="1">E6</f>
        <v>0.45500000000000002</v>
      </c>
    </row>
    <row r="10" spans="1:5" x14ac:dyDescent="0.35">
      <c r="A10" s="250"/>
      <c r="B10" s="21" t="s">
        <v>78</v>
      </c>
      <c r="C10" s="18" t="s">
        <v>77</v>
      </c>
      <c r="D10" s="46">
        <f t="shared" si="0"/>
        <v>4.6950000000000003</v>
      </c>
      <c r="E10" s="51">
        <f t="shared" ref="E10" si="2">E7</f>
        <v>0</v>
      </c>
    </row>
    <row r="11" spans="1:5" ht="16" thickBot="1" x14ac:dyDescent="0.4">
      <c r="A11" s="250"/>
      <c r="B11" s="21" t="s">
        <v>81</v>
      </c>
      <c r="C11" s="18" t="s">
        <v>82</v>
      </c>
      <c r="D11" s="46">
        <f>'bilant energetic'!D15/'lot 4'!AI55</f>
        <v>2.6737761329397625</v>
      </c>
      <c r="E11" s="49">
        <f>'bilant energetic'!E15/(13*35*7)</f>
        <v>1.0677610612244899</v>
      </c>
    </row>
    <row r="12" spans="1:5" x14ac:dyDescent="0.35">
      <c r="A12" s="249" t="s">
        <v>61</v>
      </c>
      <c r="B12" s="22" t="s">
        <v>79</v>
      </c>
      <c r="C12" s="17" t="s">
        <v>77</v>
      </c>
      <c r="D12" s="45">
        <v>0</v>
      </c>
      <c r="E12" s="50">
        <v>0</v>
      </c>
    </row>
    <row r="13" spans="1:5" x14ac:dyDescent="0.35">
      <c r="A13" s="250"/>
      <c r="B13" s="21" t="s">
        <v>78</v>
      </c>
      <c r="C13" s="18" t="s">
        <v>77</v>
      </c>
      <c r="D13" s="46">
        <f>D9+D10</f>
        <v>8.23</v>
      </c>
      <c r="E13" s="51">
        <f t="shared" ref="E13" si="3">E9+E10</f>
        <v>0.45500000000000002</v>
      </c>
    </row>
    <row r="14" spans="1:5" ht="16" thickBot="1" x14ac:dyDescent="0.4">
      <c r="A14" s="250"/>
      <c r="B14" s="21" t="s">
        <v>81</v>
      </c>
      <c r="C14" s="18" t="s">
        <v>82</v>
      </c>
      <c r="D14" s="46">
        <f>'bilant energetic'!D21/'lot 4'!AI55</f>
        <v>1.6591142371269267</v>
      </c>
      <c r="E14" s="49">
        <f>'bilant energetic'!E22/(13*35*7)</f>
        <v>1.0187836734693878</v>
      </c>
    </row>
    <row r="15" spans="1:5" x14ac:dyDescent="0.35">
      <c r="A15" s="249" t="s">
        <v>60</v>
      </c>
      <c r="B15" s="22" t="s">
        <v>79</v>
      </c>
      <c r="C15" s="17" t="s">
        <v>77</v>
      </c>
      <c r="D15" s="45">
        <v>0</v>
      </c>
      <c r="E15" s="50">
        <v>0</v>
      </c>
    </row>
    <row r="16" spans="1:5" x14ac:dyDescent="0.35">
      <c r="A16" s="250"/>
      <c r="B16" s="21" t="s">
        <v>78</v>
      </c>
      <c r="C16" s="18" t="s">
        <v>77</v>
      </c>
      <c r="D16" s="46">
        <f>D13</f>
        <v>8.23</v>
      </c>
      <c r="E16" s="51">
        <f t="shared" ref="E16" si="4">E13</f>
        <v>0.45500000000000002</v>
      </c>
    </row>
    <row r="17" spans="1:5" ht="16" thickBot="1" x14ac:dyDescent="0.4">
      <c r="A17" s="251"/>
      <c r="B17" s="23" t="s">
        <v>81</v>
      </c>
      <c r="C17" s="19" t="s">
        <v>82</v>
      </c>
      <c r="D17" s="47">
        <f>'bilant energetic'!D27/'lot 4'!AI55</f>
        <v>0.84793311468240951</v>
      </c>
      <c r="E17" s="52">
        <f>'bilant energetic'!E28/(13*35*7)</f>
        <v>0.62832339089481948</v>
      </c>
    </row>
  </sheetData>
  <mergeCells count="5">
    <mergeCell ref="A2:E2"/>
    <mergeCell ref="A12:A14"/>
    <mergeCell ref="A6:A8"/>
    <mergeCell ref="A9:A11"/>
    <mergeCell ref="A15:A17"/>
  </mergeCells>
  <pageMargins left="0.25" right="0.25" top="0.75" bottom="0.75" header="0.3" footer="0.3"/>
  <pageSetup paperSize="9" orientation="landscape" horizontalDpi="4294967293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0"/>
  <sheetViews>
    <sheetView topLeftCell="A7" workbookViewId="0">
      <selection activeCell="D11" sqref="D11"/>
    </sheetView>
  </sheetViews>
  <sheetFormatPr defaultColWidth="8.7265625" defaultRowHeight="15.5" x14ac:dyDescent="0.35"/>
  <cols>
    <col min="1" max="1" width="15.1796875" style="14" customWidth="1"/>
    <col min="2" max="2" width="44.453125" style="12" customWidth="1"/>
    <col min="3" max="3" width="9.1796875" style="12" customWidth="1"/>
    <col min="4" max="4" width="11.453125" style="122" customWidth="1"/>
    <col min="5" max="5" width="11.08984375" style="122" customWidth="1"/>
    <col min="6" max="6" width="14.54296875" style="122" customWidth="1"/>
    <col min="7" max="7" width="11.453125" style="122" bestFit="1" customWidth="1"/>
    <col min="8" max="16384" width="8.7265625" style="12"/>
  </cols>
  <sheetData>
    <row r="2" spans="1:7" s="121" customFormat="1" ht="20" x14ac:dyDescent="0.4">
      <c r="A2" s="255" t="s">
        <v>191</v>
      </c>
      <c r="B2" s="255"/>
      <c r="C2" s="255"/>
      <c r="D2" s="255"/>
      <c r="E2" s="255"/>
      <c r="F2" s="255"/>
      <c r="G2" s="120"/>
    </row>
    <row r="3" spans="1:7" ht="16" thickBot="1" x14ac:dyDescent="0.4"/>
    <row r="4" spans="1:7" ht="31.5" thickBot="1" x14ac:dyDescent="0.4">
      <c r="A4" s="123"/>
      <c r="B4" s="124"/>
      <c r="C4" s="125"/>
      <c r="D4" s="126" t="s">
        <v>189</v>
      </c>
      <c r="E4" s="127" t="s">
        <v>192</v>
      </c>
      <c r="F4" s="127" t="s">
        <v>193</v>
      </c>
      <c r="G4" s="12"/>
    </row>
    <row r="5" spans="1:7" ht="15" customHeight="1" x14ac:dyDescent="0.35">
      <c r="A5" s="249" t="s">
        <v>58</v>
      </c>
      <c r="B5" s="128" t="s">
        <v>194</v>
      </c>
      <c r="C5" s="129" t="s">
        <v>195</v>
      </c>
      <c r="D5" s="130">
        <f>'[1]lot 4'!I56</f>
        <v>46610.076000000001</v>
      </c>
      <c r="E5" s="131">
        <f>'[1]lot 4 foto'!H8</f>
        <v>0</v>
      </c>
      <c r="F5" s="131">
        <f>D5+E5</f>
        <v>46610.076000000001</v>
      </c>
      <c r="G5" s="12"/>
    </row>
    <row r="6" spans="1:7" x14ac:dyDescent="0.35">
      <c r="A6" s="250"/>
      <c r="B6" s="132" t="s">
        <v>196</v>
      </c>
      <c r="C6" s="133" t="s">
        <v>195</v>
      </c>
      <c r="D6" s="134">
        <v>0</v>
      </c>
      <c r="E6" s="135">
        <v>0</v>
      </c>
      <c r="F6" s="136">
        <f>D6+E6</f>
        <v>0</v>
      </c>
      <c r="G6" s="12"/>
    </row>
    <row r="7" spans="1:7" x14ac:dyDescent="0.35">
      <c r="A7" s="250"/>
      <c r="B7" s="132" t="s">
        <v>197</v>
      </c>
      <c r="C7" s="133" t="s">
        <v>195</v>
      </c>
      <c r="D7" s="134">
        <f>'[1]lot 4'!J56</f>
        <v>6925.3885000000018</v>
      </c>
      <c r="E7" s="135">
        <f>'[1]lot 4 foto'!I8</f>
        <v>0</v>
      </c>
      <c r="F7" s="136">
        <f t="shared" ref="F7:F9" si="0">D7+E7</f>
        <v>6925.3885000000018</v>
      </c>
      <c r="G7" s="12"/>
    </row>
    <row r="8" spans="1:7" x14ac:dyDescent="0.35">
      <c r="A8" s="250"/>
      <c r="B8" s="132" t="s">
        <v>198</v>
      </c>
      <c r="C8" s="133" t="s">
        <v>195</v>
      </c>
      <c r="D8" s="134">
        <f>(D5+D7+D6)*0.03</f>
        <v>1606.0639349999999</v>
      </c>
      <c r="E8" s="135">
        <f t="shared" ref="E8" si="1">(E5+E7+E6)*0.03</f>
        <v>0</v>
      </c>
      <c r="F8" s="136">
        <f t="shared" si="0"/>
        <v>1606.0639349999999</v>
      </c>
      <c r="G8" s="12"/>
    </row>
    <row r="9" spans="1:7" x14ac:dyDescent="0.35">
      <c r="A9" s="250"/>
      <c r="B9" s="132" t="s">
        <v>199</v>
      </c>
      <c r="C9" s="133" t="s">
        <v>195</v>
      </c>
      <c r="D9" s="134">
        <f>D5+D6+D7+D8-D10</f>
        <v>55141.528435</v>
      </c>
      <c r="E9" s="135">
        <f t="shared" ref="E9" si="2">E5+E6+E7+E8-E10</f>
        <v>0</v>
      </c>
      <c r="F9" s="136">
        <f t="shared" si="0"/>
        <v>55141.528435</v>
      </c>
      <c r="G9" s="12"/>
    </row>
    <row r="10" spans="1:7" ht="16" thickBot="1" x14ac:dyDescent="0.4">
      <c r="A10" s="251"/>
      <c r="B10" s="137" t="s">
        <v>200</v>
      </c>
      <c r="C10" s="138" t="s">
        <v>195</v>
      </c>
      <c r="D10" s="139">
        <v>0</v>
      </c>
      <c r="E10" s="140">
        <v>0</v>
      </c>
      <c r="F10" s="141">
        <f>D10+E10</f>
        <v>0</v>
      </c>
      <c r="G10" s="12"/>
    </row>
    <row r="11" spans="1:7" ht="15" customHeight="1" x14ac:dyDescent="0.35">
      <c r="A11" s="249" t="s">
        <v>59</v>
      </c>
      <c r="B11" s="128" t="s">
        <v>194</v>
      </c>
      <c r="C11" s="129" t="s">
        <v>195</v>
      </c>
      <c r="D11" s="130">
        <f>'[1]lot 4'!Q56</f>
        <v>103213.03000000003</v>
      </c>
      <c r="E11" s="131">
        <f>'[1]lot 4 foto'!P8</f>
        <v>2846.3500000000004</v>
      </c>
      <c r="F11" s="131">
        <f>D11+E11</f>
        <v>106059.38000000003</v>
      </c>
      <c r="G11" s="12"/>
    </row>
    <row r="12" spans="1:7" x14ac:dyDescent="0.35">
      <c r="A12" s="250"/>
      <c r="B12" s="132" t="s">
        <v>196</v>
      </c>
      <c r="C12" s="133" t="s">
        <v>195</v>
      </c>
      <c r="D12" s="134">
        <v>0</v>
      </c>
      <c r="E12" s="135">
        <v>0</v>
      </c>
      <c r="F12" s="136">
        <f>D12+E12</f>
        <v>0</v>
      </c>
      <c r="G12" s="12"/>
    </row>
    <row r="13" spans="1:7" x14ac:dyDescent="0.35">
      <c r="A13" s="250"/>
      <c r="B13" s="132" t="s">
        <v>197</v>
      </c>
      <c r="C13" s="133" t="s">
        <v>195</v>
      </c>
      <c r="D13" s="134">
        <f>'[1]lot 4'!R56</f>
        <v>15510.418000000001</v>
      </c>
      <c r="E13" s="135">
        <f>'[1]lot 4 foto'!Q8</f>
        <v>455.416</v>
      </c>
      <c r="F13" s="136">
        <f t="shared" ref="F13:F16" si="3">D13+E13</f>
        <v>15965.834000000001</v>
      </c>
      <c r="G13" s="12"/>
    </row>
    <row r="14" spans="1:7" x14ac:dyDescent="0.35">
      <c r="A14" s="250"/>
      <c r="B14" s="132" t="s">
        <v>198</v>
      </c>
      <c r="C14" s="133" t="s">
        <v>195</v>
      </c>
      <c r="D14" s="134">
        <f>(D11+D13+D12)*0.03</f>
        <v>3561.7034400000007</v>
      </c>
      <c r="E14" s="135">
        <f t="shared" ref="E14" si="4">(E11+E13+E12)*0.03</f>
        <v>99.052980000000019</v>
      </c>
      <c r="F14" s="136">
        <f t="shared" si="3"/>
        <v>3660.7564200000006</v>
      </c>
      <c r="G14" s="12"/>
    </row>
    <row r="15" spans="1:7" x14ac:dyDescent="0.35">
      <c r="A15" s="250"/>
      <c r="B15" s="132" t="s">
        <v>199</v>
      </c>
      <c r="C15" s="133" t="s">
        <v>195</v>
      </c>
      <c r="D15" s="134">
        <f>D11+D12+D13+D14-D16</f>
        <v>122285.15144000003</v>
      </c>
      <c r="E15" s="135">
        <f t="shared" ref="E15" si="5">E11+E12+E13+E14-E16</f>
        <v>3400.8189800000005</v>
      </c>
      <c r="F15" s="136">
        <f t="shared" si="3"/>
        <v>125685.97042000003</v>
      </c>
      <c r="G15" s="12"/>
    </row>
    <row r="16" spans="1:7" ht="16" thickBot="1" x14ac:dyDescent="0.4">
      <c r="A16" s="251"/>
      <c r="B16" s="137" t="s">
        <v>200</v>
      </c>
      <c r="C16" s="138" t="s">
        <v>195</v>
      </c>
      <c r="D16" s="139">
        <v>0</v>
      </c>
      <c r="E16" s="140">
        <v>0</v>
      </c>
      <c r="F16" s="136">
        <f t="shared" si="3"/>
        <v>0</v>
      </c>
      <c r="G16" s="12"/>
    </row>
    <row r="17" spans="1:7" x14ac:dyDescent="0.35">
      <c r="A17" s="249" t="s">
        <v>61</v>
      </c>
      <c r="B17" s="128" t="s">
        <v>194</v>
      </c>
      <c r="C17" s="129" t="s">
        <v>195</v>
      </c>
      <c r="D17" s="130">
        <f>'[1]lot 4'!AJ56</f>
        <v>59666.74</v>
      </c>
      <c r="E17" s="131">
        <f>'[1]lot 4 foto'!AI8</f>
        <v>2561.6499999999996</v>
      </c>
      <c r="F17" s="131">
        <f>D17+E17</f>
        <v>62228.39</v>
      </c>
      <c r="G17" s="12"/>
    </row>
    <row r="18" spans="1:7" x14ac:dyDescent="0.35">
      <c r="A18" s="250"/>
      <c r="B18" s="132" t="s">
        <v>196</v>
      </c>
      <c r="C18" s="133" t="s">
        <v>195</v>
      </c>
      <c r="D18" s="134">
        <f>'[1]lot 4'!AK56</f>
        <v>3994.5599999999986</v>
      </c>
      <c r="E18" s="135">
        <f>'[1]lot 4 foto'!AJ8</f>
        <v>227.76</v>
      </c>
      <c r="F18" s="136">
        <f>D18+E18</f>
        <v>4222.3199999999988</v>
      </c>
      <c r="G18" s="12"/>
    </row>
    <row r="19" spans="1:7" x14ac:dyDescent="0.35">
      <c r="A19" s="250"/>
      <c r="B19" s="132" t="s">
        <v>197</v>
      </c>
      <c r="C19" s="133" t="s">
        <v>195</v>
      </c>
      <c r="D19" s="134">
        <f>'[1]lot 4'!AL56</f>
        <v>10008.204499999998</v>
      </c>
      <c r="E19" s="135">
        <f>'[1]lot 4 foto'!AK8</f>
        <v>455.416</v>
      </c>
      <c r="F19" s="136">
        <f t="shared" ref="F19:F22" si="6">D19+E19</f>
        <v>10463.620499999997</v>
      </c>
      <c r="G19" s="12"/>
    </row>
    <row r="20" spans="1:7" x14ac:dyDescent="0.35">
      <c r="A20" s="250"/>
      <c r="B20" s="132" t="s">
        <v>198</v>
      </c>
      <c r="C20" s="133" t="s">
        <v>195</v>
      </c>
      <c r="D20" s="134">
        <f>(D17+D19+D18)*0.03</f>
        <v>2210.0851349999998</v>
      </c>
      <c r="E20" s="135">
        <v>0</v>
      </c>
      <c r="F20" s="136">
        <f t="shared" si="6"/>
        <v>2210.0851349999998</v>
      </c>
      <c r="G20" s="12"/>
    </row>
    <row r="21" spans="1:7" x14ac:dyDescent="0.35">
      <c r="A21" s="250"/>
      <c r="B21" s="132" t="s">
        <v>199</v>
      </c>
      <c r="C21" s="133" t="s">
        <v>195</v>
      </c>
      <c r="D21" s="134">
        <f>D17+D18+D19+D20-D22</f>
        <v>75879.589634999997</v>
      </c>
      <c r="E21" s="135">
        <f>E22</f>
        <v>3244.826</v>
      </c>
      <c r="F21" s="136">
        <f t="shared" si="6"/>
        <v>79124.415634999998</v>
      </c>
      <c r="G21" s="12"/>
    </row>
    <row r="22" spans="1:7" ht="16" thickBot="1" x14ac:dyDescent="0.4">
      <c r="A22" s="251"/>
      <c r="B22" s="137" t="s">
        <v>200</v>
      </c>
      <c r="C22" s="138" t="s">
        <v>195</v>
      </c>
      <c r="D22" s="139">
        <v>0</v>
      </c>
      <c r="E22" s="140">
        <f>'[1]lot 4 foto'!AI8+'[1]lot 4 foto'!AJ8+'[1]lot 4 foto'!AK8</f>
        <v>3244.826</v>
      </c>
      <c r="F22" s="136">
        <f t="shared" si="6"/>
        <v>3244.826</v>
      </c>
      <c r="G22" s="12"/>
    </row>
    <row r="23" spans="1:7" x14ac:dyDescent="0.35">
      <c r="A23" s="249" t="s">
        <v>60</v>
      </c>
      <c r="B23" s="128" t="s">
        <v>194</v>
      </c>
      <c r="C23" s="129" t="s">
        <v>195</v>
      </c>
      <c r="D23" s="130">
        <f>'[1]lot 4'!Z56</f>
        <v>33656.14</v>
      </c>
      <c r="E23" s="131">
        <f>'[1]lot 4 foto'!Y8</f>
        <v>1773.45</v>
      </c>
      <c r="F23" s="131">
        <f>D23+E23</f>
        <v>35429.589999999997</v>
      </c>
      <c r="G23" s="12"/>
    </row>
    <row r="24" spans="1:7" x14ac:dyDescent="0.35">
      <c r="A24" s="250"/>
      <c r="B24" s="132" t="s">
        <v>196</v>
      </c>
      <c r="C24" s="133" t="s">
        <v>195</v>
      </c>
      <c r="D24" s="134">
        <f>'[1]lot 4'!AA56</f>
        <v>3994.5599999999986</v>
      </c>
      <c r="E24" s="135">
        <f>'[1]lot 4 foto'!Z8</f>
        <v>227.76</v>
      </c>
      <c r="F24" s="136">
        <f>D24+E24</f>
        <v>4222.3199999999988</v>
      </c>
      <c r="G24" s="12"/>
    </row>
    <row r="25" spans="1:7" x14ac:dyDescent="0.35">
      <c r="A25" s="250"/>
      <c r="B25" s="132" t="s">
        <v>197</v>
      </c>
      <c r="C25" s="133" t="s">
        <v>195</v>
      </c>
      <c r="D25" s="134">
        <f>'[1]lot 4'!AB56</f>
        <v>0</v>
      </c>
      <c r="E25" s="135">
        <f>'[1]lot 4 foto'!AA8</f>
        <v>0</v>
      </c>
      <c r="F25" s="136">
        <f t="shared" ref="F25:F28" si="7">D25+E25</f>
        <v>0</v>
      </c>
      <c r="G25" s="12"/>
    </row>
    <row r="26" spans="1:7" x14ac:dyDescent="0.35">
      <c r="A26" s="250"/>
      <c r="B26" s="132" t="s">
        <v>198</v>
      </c>
      <c r="C26" s="133" t="s">
        <v>195</v>
      </c>
      <c r="D26" s="134">
        <f>(D23+D25+D24)*0.03</f>
        <v>1129.521</v>
      </c>
      <c r="E26" s="135">
        <v>0</v>
      </c>
      <c r="F26" s="136">
        <f t="shared" si="7"/>
        <v>1129.521</v>
      </c>
      <c r="G26" s="12"/>
    </row>
    <row r="27" spans="1:7" x14ac:dyDescent="0.35">
      <c r="A27" s="250"/>
      <c r="B27" s="132" t="s">
        <v>199</v>
      </c>
      <c r="C27" s="133" t="s">
        <v>195</v>
      </c>
      <c r="D27" s="134">
        <f>D23+D24+D25+D26-D28</f>
        <v>38780.220999999998</v>
      </c>
      <c r="E27" s="135">
        <f>E28</f>
        <v>2001.21</v>
      </c>
      <c r="F27" s="136">
        <f t="shared" si="7"/>
        <v>40781.430999999997</v>
      </c>
      <c r="G27" s="12"/>
    </row>
    <row r="28" spans="1:7" ht="16" thickBot="1" x14ac:dyDescent="0.4">
      <c r="A28" s="251"/>
      <c r="B28" s="137" t="s">
        <v>200</v>
      </c>
      <c r="C28" s="138" t="s">
        <v>195</v>
      </c>
      <c r="D28" s="139">
        <v>0</v>
      </c>
      <c r="E28" s="140">
        <f>'[1]lot 4 foto'!Y8+'[1]lot 4 foto'!Z8</f>
        <v>2001.21</v>
      </c>
      <c r="F28" s="140">
        <f t="shared" si="7"/>
        <v>2001.21</v>
      </c>
      <c r="G28" s="12"/>
    </row>
    <row r="31" spans="1:7" ht="16" thickBot="1" x14ac:dyDescent="0.4"/>
    <row r="32" spans="1:7" x14ac:dyDescent="0.35">
      <c r="A32" s="256" t="s">
        <v>201</v>
      </c>
      <c r="B32" s="257"/>
      <c r="C32" s="257"/>
      <c r="D32" s="258"/>
      <c r="E32" s="131">
        <f>F11+F12+F13+F14</f>
        <v>125685.97042000004</v>
      </c>
      <c r="F32" s="142" t="s">
        <v>202</v>
      </c>
    </row>
    <row r="33" spans="1:7" x14ac:dyDescent="0.35">
      <c r="A33" s="259" t="s">
        <v>203</v>
      </c>
      <c r="B33" s="260"/>
      <c r="C33" s="260"/>
      <c r="D33" s="261"/>
      <c r="E33" s="135">
        <f>F27-F28</f>
        <v>38780.220999999998</v>
      </c>
      <c r="F33" s="143" t="s">
        <v>202</v>
      </c>
    </row>
    <row r="34" spans="1:7" ht="16" thickBot="1" x14ac:dyDescent="0.4">
      <c r="A34" s="262" t="s">
        <v>204</v>
      </c>
      <c r="B34" s="263"/>
      <c r="C34" s="263"/>
      <c r="D34" s="264"/>
      <c r="E34" s="144">
        <f>E32-E33</f>
        <v>86905.749420000036</v>
      </c>
      <c r="F34" s="145" t="s">
        <v>202</v>
      </c>
    </row>
    <row r="35" spans="1:7" ht="16" thickBot="1" x14ac:dyDescent="0.4">
      <c r="F35" s="146"/>
    </row>
    <row r="36" spans="1:7" x14ac:dyDescent="0.35">
      <c r="A36" s="256" t="s">
        <v>205</v>
      </c>
      <c r="B36" s="257"/>
      <c r="C36" s="257"/>
      <c r="D36" s="258"/>
      <c r="E36" s="147">
        <f>E32*287.11/1000000</f>
        <v>36.085698967286213</v>
      </c>
      <c r="F36" s="148" t="s">
        <v>206</v>
      </c>
    </row>
    <row r="37" spans="1:7" x14ac:dyDescent="0.35">
      <c r="A37" s="259" t="s">
        <v>207</v>
      </c>
      <c r="B37" s="260"/>
      <c r="C37" s="260"/>
      <c r="D37" s="261"/>
      <c r="E37" s="149">
        <f>E33*287.11/1000000</f>
        <v>11.13418925131</v>
      </c>
      <c r="F37" s="150" t="s">
        <v>206</v>
      </c>
    </row>
    <row r="38" spans="1:7" ht="16" thickBot="1" x14ac:dyDescent="0.4">
      <c r="A38" s="262" t="s">
        <v>208</v>
      </c>
      <c r="B38" s="263"/>
      <c r="C38" s="263"/>
      <c r="D38" s="264"/>
      <c r="E38" s="151">
        <f>E36-E37</f>
        <v>24.951509715976215</v>
      </c>
      <c r="F38" s="152" t="s">
        <v>206</v>
      </c>
    </row>
    <row r="39" spans="1:7" ht="16" thickBot="1" x14ac:dyDescent="0.4"/>
    <row r="40" spans="1:7" ht="16" thickBot="1" x14ac:dyDescent="0.4">
      <c r="A40" s="252" t="s">
        <v>209</v>
      </c>
      <c r="B40" s="253"/>
      <c r="C40" s="253"/>
      <c r="D40" s="254"/>
      <c r="E40" s="153">
        <f>1-E37/E36</f>
        <v>0.69145147329960843</v>
      </c>
      <c r="G40" s="154"/>
    </row>
  </sheetData>
  <mergeCells count="12">
    <mergeCell ref="A40:D40"/>
    <mergeCell ref="A2:F2"/>
    <mergeCell ref="A5:A10"/>
    <mergeCell ref="A11:A16"/>
    <mergeCell ref="A17:A22"/>
    <mergeCell ref="A23:A28"/>
    <mergeCell ref="A32:D32"/>
    <mergeCell ref="A33:D33"/>
    <mergeCell ref="A34:D34"/>
    <mergeCell ref="A36:D36"/>
    <mergeCell ref="A37:D37"/>
    <mergeCell ref="A38:D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59"/>
  <sheetViews>
    <sheetView zoomScale="75" zoomScaleNormal="75" zoomScaleSheetLayoutView="55" workbookViewId="0">
      <pane xSplit="2" ySplit="4" topLeftCell="O41" activePane="bottomRight" state="frozenSplit"/>
      <selection pane="topRight" activeCell="I1" sqref="I1"/>
      <selection pane="bottomLeft" activeCell="A9" sqref="A9"/>
      <selection pane="bottomRight" activeCell="A34" sqref="A34:AG34"/>
    </sheetView>
  </sheetViews>
  <sheetFormatPr defaultColWidth="8.7265625" defaultRowHeight="14.5" x14ac:dyDescent="0.35"/>
  <cols>
    <col min="1" max="1" width="5.26953125" style="2" customWidth="1"/>
    <col min="2" max="2" width="25.08984375" style="94" customWidth="1"/>
    <col min="3" max="3" width="8.7265625" style="2" customWidth="1"/>
    <col min="4" max="4" width="8" style="4" customWidth="1"/>
    <col min="5" max="5" width="8.81640625" style="2" customWidth="1"/>
    <col min="6" max="6" width="6.7265625" style="4" customWidth="1"/>
    <col min="7" max="7" width="9.54296875" style="2" customWidth="1"/>
    <col min="8" max="8" width="13" style="2" customWidth="1"/>
    <col min="9" max="9" width="16.90625" style="2" customWidth="1"/>
    <col min="10" max="10" width="11.7265625" style="2" customWidth="1"/>
    <col min="11" max="11" width="11" style="6" customWidth="1"/>
    <col min="12" max="12" width="9" style="2" customWidth="1"/>
    <col min="13" max="13" width="7.1796875" style="2" customWidth="1"/>
    <col min="14" max="14" width="12.6328125" style="2" customWidth="1"/>
    <col min="15" max="15" width="6.1796875" style="2" customWidth="1"/>
    <col min="16" max="16" width="9.7265625" style="100" customWidth="1"/>
    <col min="17" max="17" width="4.7265625" style="100" customWidth="1"/>
    <col min="18" max="18" width="7.54296875" style="100" customWidth="1"/>
    <col min="19" max="19" width="13.453125" style="2" customWidth="1"/>
    <col min="20" max="20" width="10.1796875" style="2" customWidth="1"/>
    <col min="21" max="21" width="6.453125" style="2" customWidth="1"/>
    <col min="22" max="22" width="5.453125" style="2" customWidth="1"/>
    <col min="23" max="23" width="5.26953125" style="2" customWidth="1"/>
    <col min="24" max="24" width="9" style="2" customWidth="1"/>
    <col min="25" max="25" width="10.81640625" style="2" customWidth="1"/>
    <col min="26" max="26" width="5.453125" style="26" customWidth="1"/>
    <col min="27" max="27" width="6.81640625" style="56" customWidth="1"/>
    <col min="28" max="28" width="14.1796875" style="2" customWidth="1"/>
    <col min="29" max="29" width="12" style="2" customWidth="1"/>
    <col min="30" max="30" width="7.453125" style="2" customWidth="1"/>
    <col min="31" max="31" width="5.7265625" style="2" customWidth="1"/>
    <col min="32" max="32" width="6" style="2" customWidth="1"/>
    <col min="33" max="33" width="7.81640625" style="2" customWidth="1"/>
    <col min="34" max="34" width="8.1796875" style="2" bestFit="1" customWidth="1"/>
    <col min="35" max="35" width="14.54296875" style="2" customWidth="1"/>
    <col min="36" max="36" width="4.453125" style="2" customWidth="1"/>
    <col min="37" max="81" width="18.81640625" style="2" hidden="1" customWidth="1"/>
    <col min="82" max="82" width="7" style="2" hidden="1" customWidth="1"/>
    <col min="83" max="84" width="13.7265625" style="2" hidden="1" customWidth="1"/>
    <col min="85" max="90" width="10.81640625" style="2" hidden="1" customWidth="1"/>
    <col min="91" max="91" width="13.1796875" style="2" hidden="1" customWidth="1"/>
    <col min="92" max="92" width="8.54296875" style="2" hidden="1" customWidth="1"/>
    <col min="93" max="93" width="8.26953125" style="2" hidden="1" customWidth="1"/>
    <col min="94" max="94" width="8.453125" style="2" hidden="1" customWidth="1"/>
    <col min="95" max="95" width="7" style="2" hidden="1" customWidth="1"/>
    <col min="96" max="96" width="7.1796875" style="2" hidden="1" customWidth="1"/>
    <col min="97" max="97" width="9.7265625" style="2" hidden="1" customWidth="1"/>
    <col min="98" max="98" width="13.54296875" style="2" hidden="1" customWidth="1"/>
    <col min="99" max="99" width="17.26953125" style="2" hidden="1" customWidth="1"/>
    <col min="100" max="101" width="10.26953125" style="2" hidden="1" customWidth="1"/>
    <col min="102" max="102" width="8.7265625" style="2" hidden="1" customWidth="1"/>
    <col min="103" max="103" width="7" style="2" hidden="1" customWidth="1"/>
    <col min="104" max="104" width="10.81640625" style="2" hidden="1" customWidth="1"/>
    <col min="105" max="105" width="8.7265625" style="2" hidden="1" customWidth="1"/>
    <col min="106" max="106" width="17" style="26" hidden="1" customWidth="1"/>
    <col min="107" max="107" width="16.26953125" style="2" hidden="1" customWidth="1"/>
    <col min="108" max="108" width="10" style="26" hidden="1" customWidth="1"/>
    <col min="109" max="110" width="15" style="2" hidden="1" customWidth="1"/>
    <col min="111" max="111" width="12" style="2" hidden="1" customWidth="1"/>
    <col min="112" max="112" width="8.7265625" style="2"/>
    <col min="113" max="117" width="5.1796875" style="2" hidden="1" customWidth="1"/>
    <col min="118" max="119" width="3.1796875" style="2" hidden="1" customWidth="1"/>
    <col min="120" max="120" width="5.1796875" style="2" hidden="1" customWidth="1"/>
    <col min="121" max="125" width="3.1796875" style="2" hidden="1" customWidth="1"/>
    <col min="126" max="126" width="4.1796875" style="2" hidden="1" customWidth="1"/>
    <col min="127" max="128" width="8.54296875" style="2" hidden="1" customWidth="1"/>
    <col min="129" max="129" width="7.54296875" style="2" hidden="1" customWidth="1"/>
    <col min="130" max="131" width="0" style="2" hidden="1" customWidth="1"/>
    <col min="132" max="16384" width="8.7265625" style="2"/>
  </cols>
  <sheetData>
    <row r="1" spans="1:131" s="4" customFormat="1" ht="15" thickBot="1" x14ac:dyDescent="0.4">
      <c r="K1" s="92"/>
      <c r="P1" s="56"/>
      <c r="Q1" s="56"/>
      <c r="R1" s="56"/>
      <c r="AA1" s="56"/>
    </row>
    <row r="2" spans="1:131" s="5" customFormat="1" ht="24" thickBot="1" x14ac:dyDescent="0.4">
      <c r="A2" s="288" t="s">
        <v>214</v>
      </c>
      <c r="B2" s="289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0"/>
      <c r="AD2" s="290"/>
      <c r="AE2" s="290"/>
      <c r="AF2" s="290"/>
      <c r="AG2" s="291"/>
      <c r="AH2" s="7"/>
      <c r="AI2" s="7" t="s">
        <v>80</v>
      </c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27"/>
      <c r="DC2" s="7"/>
      <c r="DD2" s="27"/>
      <c r="DE2" s="7"/>
      <c r="DF2" s="7"/>
      <c r="DG2" s="7"/>
    </row>
    <row r="3" spans="1:131" s="111" customFormat="1" ht="18.5" x14ac:dyDescent="0.35">
      <c r="A3" s="292" t="s">
        <v>62</v>
      </c>
      <c r="B3" s="293"/>
      <c r="C3" s="294"/>
      <c r="D3" s="294"/>
      <c r="E3" s="294"/>
      <c r="F3" s="294"/>
      <c r="G3" s="294"/>
      <c r="H3" s="294"/>
      <c r="I3" s="294"/>
      <c r="J3" s="294"/>
      <c r="K3" s="294"/>
      <c r="L3" s="295"/>
      <c r="M3" s="279" t="s">
        <v>71</v>
      </c>
      <c r="N3" s="280"/>
      <c r="O3" s="281"/>
      <c r="P3" s="279" t="s">
        <v>70</v>
      </c>
      <c r="Q3" s="280"/>
      <c r="R3" s="280"/>
      <c r="S3" s="280"/>
      <c r="T3" s="280"/>
      <c r="U3" s="280"/>
      <c r="V3" s="280"/>
      <c r="W3" s="280"/>
      <c r="X3" s="281"/>
      <c r="Y3" s="279" t="s">
        <v>72</v>
      </c>
      <c r="Z3" s="280"/>
      <c r="AA3" s="280"/>
      <c r="AB3" s="280"/>
      <c r="AC3" s="280"/>
      <c r="AD3" s="280"/>
      <c r="AE3" s="280"/>
      <c r="AF3" s="280"/>
      <c r="AG3" s="281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  <c r="CD3" s="108"/>
      <c r="CE3" s="277" t="s">
        <v>19</v>
      </c>
      <c r="CF3" s="278"/>
      <c r="CG3" s="278"/>
      <c r="CH3" s="278"/>
      <c r="CI3" s="278"/>
      <c r="CJ3" s="278"/>
      <c r="CK3" s="278"/>
      <c r="CL3" s="278"/>
      <c r="CM3" s="278"/>
      <c r="CN3" s="108"/>
      <c r="CO3" s="108"/>
      <c r="CP3" s="108"/>
      <c r="CQ3" s="108"/>
      <c r="CR3" s="108"/>
      <c r="CS3" s="108"/>
      <c r="CT3" s="108"/>
      <c r="CU3" s="108"/>
      <c r="CV3" s="108"/>
      <c r="CW3" s="108"/>
      <c r="CX3" s="108"/>
      <c r="CY3" s="108"/>
      <c r="CZ3" s="108"/>
      <c r="DA3" s="108"/>
      <c r="DB3" s="108"/>
      <c r="DC3" s="108"/>
      <c r="DD3" s="108"/>
      <c r="DE3" s="108"/>
      <c r="DF3" s="108"/>
      <c r="DG3" s="108"/>
    </row>
    <row r="4" spans="1:131" ht="87" x14ac:dyDescent="0.35">
      <c r="A4" s="241" t="s">
        <v>36</v>
      </c>
      <c r="B4" s="8" t="s">
        <v>0</v>
      </c>
      <c r="C4" s="40" t="s">
        <v>10</v>
      </c>
      <c r="D4" s="40" t="s">
        <v>11</v>
      </c>
      <c r="E4" s="40" t="s">
        <v>3</v>
      </c>
      <c r="F4" s="40" t="s">
        <v>8</v>
      </c>
      <c r="G4" s="40" t="s">
        <v>5</v>
      </c>
      <c r="H4" s="40" t="s">
        <v>7</v>
      </c>
      <c r="I4" s="40" t="s">
        <v>15</v>
      </c>
      <c r="J4" s="40" t="s">
        <v>16</v>
      </c>
      <c r="K4" s="40" t="s">
        <v>2</v>
      </c>
      <c r="L4" s="41" t="s">
        <v>63</v>
      </c>
      <c r="M4" s="42" t="s">
        <v>73</v>
      </c>
      <c r="N4" s="40" t="s">
        <v>74</v>
      </c>
      <c r="O4" s="43" t="s">
        <v>50</v>
      </c>
      <c r="P4" s="65" t="s">
        <v>74</v>
      </c>
      <c r="Q4" s="8" t="s">
        <v>50</v>
      </c>
      <c r="R4" s="8" t="s">
        <v>75</v>
      </c>
      <c r="S4" s="40" t="s">
        <v>93</v>
      </c>
      <c r="T4" s="40" t="s">
        <v>94</v>
      </c>
      <c r="U4" s="40" t="s">
        <v>66</v>
      </c>
      <c r="V4" s="40" t="s">
        <v>67</v>
      </c>
      <c r="W4" s="40" t="s">
        <v>68</v>
      </c>
      <c r="X4" s="43" t="s">
        <v>69</v>
      </c>
      <c r="Y4" s="42" t="s">
        <v>74</v>
      </c>
      <c r="Z4" s="42" t="s">
        <v>50</v>
      </c>
      <c r="AA4" s="8" t="s">
        <v>75</v>
      </c>
      <c r="AB4" s="40" t="s">
        <v>93</v>
      </c>
      <c r="AC4" s="40" t="s">
        <v>94</v>
      </c>
      <c r="AD4" s="40" t="s">
        <v>66</v>
      </c>
      <c r="AE4" s="40" t="s">
        <v>67</v>
      </c>
      <c r="AF4" s="40" t="s">
        <v>68</v>
      </c>
      <c r="AG4" s="43" t="s">
        <v>69</v>
      </c>
      <c r="AH4" s="2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 t="s">
        <v>18</v>
      </c>
      <c r="CE4" s="8" t="s">
        <v>27</v>
      </c>
      <c r="CF4" s="8" t="s">
        <v>33</v>
      </c>
      <c r="CG4" s="8" t="s">
        <v>28</v>
      </c>
      <c r="CH4" s="8" t="s">
        <v>34</v>
      </c>
      <c r="CI4" s="8" t="s">
        <v>29</v>
      </c>
      <c r="CJ4" s="8" t="s">
        <v>30</v>
      </c>
      <c r="CK4" s="8" t="s">
        <v>32</v>
      </c>
      <c r="CL4" s="8" t="s">
        <v>31</v>
      </c>
      <c r="CM4" s="8" t="s">
        <v>38</v>
      </c>
      <c r="CN4" s="8" t="s">
        <v>10</v>
      </c>
      <c r="CO4" s="8" t="s">
        <v>11</v>
      </c>
      <c r="CP4" s="8" t="s">
        <v>3</v>
      </c>
      <c r="CQ4" s="8" t="s">
        <v>8</v>
      </c>
      <c r="CR4" s="8" t="s">
        <v>9</v>
      </c>
      <c r="CS4" s="8" t="s">
        <v>5</v>
      </c>
      <c r="CT4" s="8" t="s">
        <v>7</v>
      </c>
      <c r="CU4" s="8" t="s">
        <v>15</v>
      </c>
      <c r="CV4" s="8" t="s">
        <v>16</v>
      </c>
      <c r="CW4" s="8" t="s">
        <v>2</v>
      </c>
      <c r="CX4" s="8" t="s">
        <v>6</v>
      </c>
      <c r="CY4" s="8" t="s">
        <v>18</v>
      </c>
      <c r="CZ4" s="8" t="s">
        <v>19</v>
      </c>
      <c r="DA4" s="8" t="s">
        <v>17</v>
      </c>
      <c r="DB4" s="8" t="s">
        <v>12</v>
      </c>
      <c r="DC4" s="8" t="s">
        <v>13</v>
      </c>
      <c r="DD4" s="8" t="s">
        <v>14</v>
      </c>
      <c r="DE4" s="8" t="s">
        <v>39</v>
      </c>
      <c r="DF4" s="8" t="s">
        <v>37</v>
      </c>
      <c r="DG4" s="8" t="s">
        <v>35</v>
      </c>
      <c r="DI4" s="63">
        <v>25.2</v>
      </c>
      <c r="DJ4" s="63">
        <v>26.2</v>
      </c>
      <c r="DK4" s="63">
        <v>35.200000000000003</v>
      </c>
      <c r="DL4" s="63">
        <v>36.4</v>
      </c>
      <c r="DM4" s="63">
        <v>38.1</v>
      </c>
      <c r="DN4" s="63">
        <v>44</v>
      </c>
      <c r="DO4" s="63">
        <v>47</v>
      </c>
      <c r="DP4" s="63">
        <v>53.5</v>
      </c>
      <c r="DQ4" s="63">
        <v>67</v>
      </c>
      <c r="DR4" s="63">
        <v>70</v>
      </c>
      <c r="DS4" s="63">
        <v>78</v>
      </c>
      <c r="DT4" s="63">
        <v>87</v>
      </c>
      <c r="DU4" s="63">
        <v>90</v>
      </c>
      <c r="DV4" s="63">
        <v>104</v>
      </c>
      <c r="DW4" s="63" t="s">
        <v>143</v>
      </c>
      <c r="DX4" s="63" t="s">
        <v>144</v>
      </c>
      <c r="DY4" s="63" t="s">
        <v>145</v>
      </c>
      <c r="DZ4" s="64" t="s">
        <v>0</v>
      </c>
      <c r="EA4" s="64" t="s">
        <v>1</v>
      </c>
    </row>
    <row r="5" spans="1:131" s="108" customFormat="1" ht="18.5" x14ac:dyDescent="0.45">
      <c r="A5" s="282" t="s">
        <v>175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4"/>
      <c r="AH5" s="102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5"/>
      <c r="CF5" s="106"/>
      <c r="CG5" s="101"/>
      <c r="CH5" s="101"/>
      <c r="CI5" s="101"/>
      <c r="CJ5" s="101"/>
      <c r="CK5" s="101"/>
      <c r="CL5" s="101"/>
      <c r="CM5" s="104"/>
      <c r="CN5" s="101"/>
      <c r="CO5" s="101"/>
      <c r="CP5" s="101"/>
      <c r="CQ5" s="101"/>
      <c r="CR5" s="101"/>
      <c r="CS5" s="101"/>
      <c r="CT5" s="101"/>
      <c r="CU5" s="103"/>
      <c r="CV5" s="101"/>
      <c r="CW5" s="101"/>
      <c r="CX5" s="101"/>
      <c r="CY5" s="101"/>
      <c r="CZ5" s="101"/>
      <c r="DA5" s="101"/>
      <c r="DB5" s="101"/>
      <c r="DC5" s="101"/>
      <c r="DD5" s="101"/>
      <c r="DE5" s="107"/>
      <c r="DF5" s="107"/>
      <c r="DG5" s="107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>
        <v>13</v>
      </c>
      <c r="DT5" s="109"/>
      <c r="DU5" s="109"/>
      <c r="DV5" s="109"/>
      <c r="DW5" s="109"/>
      <c r="DX5" s="109"/>
      <c r="DY5" s="109"/>
      <c r="DZ5" s="110"/>
      <c r="EA5" s="110" t="s">
        <v>138</v>
      </c>
    </row>
    <row r="6" spans="1:131" s="56" customFormat="1" ht="15.5" x14ac:dyDescent="0.35">
      <c r="A6" s="176">
        <v>1</v>
      </c>
      <c r="B6" s="178" t="s">
        <v>146</v>
      </c>
      <c r="C6" s="95">
        <v>350</v>
      </c>
      <c r="D6" s="60">
        <v>35</v>
      </c>
      <c r="E6" s="95">
        <v>8</v>
      </c>
      <c r="F6" s="95">
        <v>5</v>
      </c>
      <c r="G6" s="95">
        <v>0.5</v>
      </c>
      <c r="H6" s="86" t="s">
        <v>21</v>
      </c>
      <c r="I6" s="24" t="s">
        <v>20</v>
      </c>
      <c r="J6" s="86">
        <v>0.8</v>
      </c>
      <c r="K6" s="95" t="s">
        <v>4</v>
      </c>
      <c r="L6" s="215" t="s">
        <v>24</v>
      </c>
      <c r="M6" s="239">
        <v>4</v>
      </c>
      <c r="N6" s="95" t="s">
        <v>178</v>
      </c>
      <c r="O6" s="218">
        <v>4</v>
      </c>
      <c r="P6" s="216" t="s">
        <v>41</v>
      </c>
      <c r="Q6" s="87">
        <v>10</v>
      </c>
      <c r="R6" s="86">
        <v>70</v>
      </c>
      <c r="S6" s="86">
        <v>0.5</v>
      </c>
      <c r="T6" s="86">
        <v>0.46</v>
      </c>
      <c r="U6" s="86">
        <v>0.42</v>
      </c>
      <c r="V6" s="86">
        <v>5</v>
      </c>
      <c r="W6" s="86">
        <v>0.48</v>
      </c>
      <c r="X6" s="81" t="s">
        <v>24</v>
      </c>
      <c r="Y6" s="84" t="s">
        <v>40</v>
      </c>
      <c r="Z6" s="86">
        <v>10</v>
      </c>
      <c r="AA6" s="87">
        <v>20</v>
      </c>
      <c r="AB6" s="86">
        <v>0.33</v>
      </c>
      <c r="AC6" s="86">
        <v>0.56000000000000005</v>
      </c>
      <c r="AD6" s="86">
        <v>0.51</v>
      </c>
      <c r="AE6" s="86">
        <v>14</v>
      </c>
      <c r="AF6" s="86">
        <v>0.35</v>
      </c>
      <c r="AG6" s="218" t="s">
        <v>24</v>
      </c>
      <c r="AH6" s="79"/>
      <c r="AI6" s="20">
        <f t="shared" ref="AI6:AI33" si="0">C6*F6</f>
        <v>1750</v>
      </c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>
        <v>30</v>
      </c>
      <c r="CE6" s="57">
        <v>26</v>
      </c>
      <c r="CF6" s="58"/>
      <c r="CG6" s="86"/>
      <c r="CH6" s="86"/>
      <c r="CI6" s="86"/>
      <c r="CJ6" s="86"/>
      <c r="CK6" s="86">
        <v>2</v>
      </c>
      <c r="CL6" s="86"/>
      <c r="CM6" s="20"/>
      <c r="CN6" s="86">
        <v>900</v>
      </c>
      <c r="CO6" s="86">
        <v>30</v>
      </c>
      <c r="CP6" s="86">
        <v>8</v>
      </c>
      <c r="CQ6" s="86">
        <v>7</v>
      </c>
      <c r="CR6" s="86">
        <v>1</v>
      </c>
      <c r="CS6" s="86">
        <v>1</v>
      </c>
      <c r="CT6" s="86" t="s">
        <v>21</v>
      </c>
      <c r="CU6" s="24" t="s">
        <v>20</v>
      </c>
      <c r="CV6" s="86">
        <v>0.8</v>
      </c>
      <c r="CW6" s="86" t="s">
        <v>4</v>
      </c>
      <c r="CX6" s="86" t="s">
        <v>22</v>
      </c>
      <c r="CY6" s="86">
        <v>30</v>
      </c>
      <c r="CZ6" s="86">
        <f>SUM(CE6:CM6)</f>
        <v>28</v>
      </c>
      <c r="DA6" s="86"/>
      <c r="DB6" s="86">
        <v>30</v>
      </c>
      <c r="DC6" s="86">
        <v>70</v>
      </c>
      <c r="DD6" s="86">
        <v>39</v>
      </c>
      <c r="DE6" s="28">
        <f>((CE6*50+CF6*250+CG6*100+CH6*250+CI6*100+CJ6*70+CL6*125+CM6*125)*1.15+CK6*70)*4100/1000</f>
        <v>6703.4999999999991</v>
      </c>
      <c r="DF6" s="28">
        <f>DC6*DB6*1.15*4100/1000</f>
        <v>9901.5</v>
      </c>
      <c r="DG6" s="28">
        <f>DB6*DD6*4100/1000</f>
        <v>4797</v>
      </c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>
        <v>145</v>
      </c>
      <c r="DX6" s="37"/>
      <c r="DY6" s="37"/>
      <c r="DZ6" s="62" t="s">
        <v>100</v>
      </c>
      <c r="EA6" s="62"/>
    </row>
    <row r="7" spans="1:131" s="56" customFormat="1" ht="15.5" x14ac:dyDescent="0.35">
      <c r="A7" s="232">
        <v>2</v>
      </c>
      <c r="B7" s="93" t="s">
        <v>147</v>
      </c>
      <c r="C7" s="95">
        <v>230</v>
      </c>
      <c r="D7" s="60">
        <v>35</v>
      </c>
      <c r="E7" s="95">
        <v>8</v>
      </c>
      <c r="F7" s="95">
        <v>4</v>
      </c>
      <c r="G7" s="95">
        <v>0.5</v>
      </c>
      <c r="H7" s="86"/>
      <c r="I7" s="24" t="s">
        <v>20</v>
      </c>
      <c r="J7" s="86">
        <v>0.8</v>
      </c>
      <c r="K7" s="95" t="s">
        <v>4</v>
      </c>
      <c r="L7" s="215" t="s">
        <v>24</v>
      </c>
      <c r="M7" s="239">
        <v>2</v>
      </c>
      <c r="N7" s="95" t="s">
        <v>178</v>
      </c>
      <c r="O7" s="218">
        <v>2</v>
      </c>
      <c r="P7" s="217" t="s">
        <v>41</v>
      </c>
      <c r="Q7" s="86">
        <v>6</v>
      </c>
      <c r="R7" s="86">
        <v>70</v>
      </c>
      <c r="S7" s="86">
        <v>0.53</v>
      </c>
      <c r="T7" s="86">
        <v>0.5</v>
      </c>
      <c r="U7" s="86">
        <v>0.41</v>
      </c>
      <c r="V7" s="86">
        <v>5</v>
      </c>
      <c r="W7" s="86">
        <v>0.61</v>
      </c>
      <c r="X7" s="81" t="s">
        <v>24</v>
      </c>
      <c r="Y7" s="84" t="s">
        <v>40</v>
      </c>
      <c r="Z7" s="86">
        <v>6</v>
      </c>
      <c r="AA7" s="86">
        <v>20</v>
      </c>
      <c r="AB7" s="86">
        <v>0.35</v>
      </c>
      <c r="AC7" s="86">
        <v>0.56999999999999995</v>
      </c>
      <c r="AD7" s="86">
        <v>0.47</v>
      </c>
      <c r="AE7" s="86">
        <v>14</v>
      </c>
      <c r="AF7" s="86">
        <v>0.42</v>
      </c>
      <c r="AG7" s="218" t="s">
        <v>24</v>
      </c>
      <c r="AH7" s="79"/>
      <c r="AI7" s="20">
        <f t="shared" si="0"/>
        <v>920</v>
      </c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57"/>
      <c r="CF7" s="58"/>
      <c r="CG7" s="86"/>
      <c r="CH7" s="86"/>
      <c r="CI7" s="86"/>
      <c r="CJ7" s="86"/>
      <c r="CK7" s="86"/>
      <c r="CL7" s="86"/>
      <c r="CM7" s="20"/>
      <c r="CN7" s="86"/>
      <c r="CO7" s="86"/>
      <c r="CP7" s="86"/>
      <c r="CQ7" s="86"/>
      <c r="CR7" s="86"/>
      <c r="CS7" s="86"/>
      <c r="CT7" s="86"/>
      <c r="CU7" s="24"/>
      <c r="CV7" s="86"/>
      <c r="CW7" s="86"/>
      <c r="CX7" s="86"/>
      <c r="CY7" s="86"/>
      <c r="CZ7" s="86"/>
      <c r="DA7" s="86"/>
      <c r="DB7" s="86"/>
      <c r="DC7" s="86"/>
      <c r="DD7" s="86"/>
      <c r="DE7" s="28"/>
      <c r="DF7" s="28"/>
      <c r="DG7" s="28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>
        <v>80</v>
      </c>
      <c r="DZ7" s="62"/>
      <c r="EA7" s="62"/>
    </row>
    <row r="8" spans="1:131" s="56" customFormat="1" ht="15.5" x14ac:dyDescent="0.35">
      <c r="A8" s="233">
        <v>3</v>
      </c>
      <c r="B8" s="178" t="s">
        <v>148</v>
      </c>
      <c r="C8" s="95">
        <v>370</v>
      </c>
      <c r="D8" s="60">
        <v>35</v>
      </c>
      <c r="E8" s="95">
        <v>8</v>
      </c>
      <c r="F8" s="95">
        <v>7</v>
      </c>
      <c r="G8" s="95">
        <v>0.5</v>
      </c>
      <c r="H8" s="86" t="s">
        <v>21</v>
      </c>
      <c r="I8" s="24" t="s">
        <v>20</v>
      </c>
      <c r="J8" s="86">
        <v>0.8</v>
      </c>
      <c r="K8" s="95" t="s">
        <v>4</v>
      </c>
      <c r="L8" s="215" t="s">
        <v>24</v>
      </c>
      <c r="M8" s="239">
        <v>10</v>
      </c>
      <c r="N8" s="95" t="s">
        <v>181</v>
      </c>
      <c r="O8" s="218">
        <v>2</v>
      </c>
      <c r="P8" s="217" t="s">
        <v>184</v>
      </c>
      <c r="Q8" s="86">
        <v>10</v>
      </c>
      <c r="R8" s="86">
        <v>72</v>
      </c>
      <c r="S8" s="86">
        <v>0.26</v>
      </c>
      <c r="T8" s="86">
        <v>0.33</v>
      </c>
      <c r="U8" s="86">
        <v>0.56999999999999995</v>
      </c>
      <c r="V8" s="86">
        <v>22</v>
      </c>
      <c r="W8" s="86">
        <v>0.56999999999999995</v>
      </c>
      <c r="X8" s="81" t="s">
        <v>76</v>
      </c>
      <c r="Y8" s="84" t="s">
        <v>40</v>
      </c>
      <c r="Z8" s="86">
        <v>10</v>
      </c>
      <c r="AA8" s="86">
        <v>28</v>
      </c>
      <c r="AB8" s="86">
        <v>0.36</v>
      </c>
      <c r="AC8" s="86">
        <v>0.39</v>
      </c>
      <c r="AD8" s="86">
        <v>0.44</v>
      </c>
      <c r="AE8" s="86">
        <v>19</v>
      </c>
      <c r="AF8" s="86">
        <v>0.33</v>
      </c>
      <c r="AG8" s="218" t="s">
        <v>24</v>
      </c>
      <c r="AH8" s="79"/>
      <c r="AI8" s="20">
        <f t="shared" si="0"/>
        <v>2590</v>
      </c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>
        <v>12</v>
      </c>
      <c r="CE8" s="57">
        <v>11</v>
      </c>
      <c r="CF8" s="58"/>
      <c r="CG8" s="86"/>
      <c r="CH8" s="86"/>
      <c r="CI8" s="86"/>
      <c r="CJ8" s="86"/>
      <c r="CK8" s="86"/>
      <c r="CL8" s="86">
        <v>1</v>
      </c>
      <c r="CM8" s="20"/>
      <c r="CN8" s="86">
        <v>325</v>
      </c>
      <c r="CO8" s="86">
        <v>35</v>
      </c>
      <c r="CP8" s="86">
        <v>8</v>
      </c>
      <c r="CQ8" s="86">
        <v>7</v>
      </c>
      <c r="CR8" s="86">
        <v>1.5</v>
      </c>
      <c r="CS8" s="86">
        <v>1</v>
      </c>
      <c r="CT8" s="86" t="s">
        <v>21</v>
      </c>
      <c r="CU8" s="24" t="s">
        <v>20</v>
      </c>
      <c r="CV8" s="86">
        <v>0.8</v>
      </c>
      <c r="CW8" s="86" t="s">
        <v>4</v>
      </c>
      <c r="CX8" s="86" t="s">
        <v>22</v>
      </c>
      <c r="CY8" s="86">
        <v>12</v>
      </c>
      <c r="CZ8" s="86">
        <f>SUM(CE8:CM8)</f>
        <v>12</v>
      </c>
      <c r="DA8" s="86"/>
      <c r="DB8" s="86">
        <v>12</v>
      </c>
      <c r="DC8" s="86">
        <v>70</v>
      </c>
      <c r="DD8" s="86">
        <v>56</v>
      </c>
      <c r="DE8" s="28">
        <f t="shared" ref="DE8:DE51" si="1">((CE8*50+CF8*250+CG8*100+CH8*250+CI8*100+CJ8*70+CL8*125+CM8*125)*1.15+CK8*70)*4100/1000</f>
        <v>3182.6249999999995</v>
      </c>
      <c r="DF8" s="28">
        <f>DC8*DB8*1.15*4100/1000</f>
        <v>3960.5999999999995</v>
      </c>
      <c r="DG8" s="28">
        <f>DB8*DD8*4100/1000</f>
        <v>2755.2</v>
      </c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>
        <v>175</v>
      </c>
      <c r="DW8" s="37"/>
      <c r="DX8" s="37"/>
      <c r="DY8" s="37"/>
      <c r="DZ8" s="62" t="s">
        <v>101</v>
      </c>
      <c r="EA8" s="62"/>
    </row>
    <row r="9" spans="1:131" s="56" customFormat="1" x14ac:dyDescent="0.35">
      <c r="A9" s="267">
        <v>4</v>
      </c>
      <c r="B9" s="274" t="s">
        <v>149</v>
      </c>
      <c r="C9" s="95">
        <v>350</v>
      </c>
      <c r="D9" s="60">
        <v>35</v>
      </c>
      <c r="E9" s="95">
        <v>8</v>
      </c>
      <c r="F9" s="95">
        <v>7</v>
      </c>
      <c r="G9" s="95">
        <v>0.5</v>
      </c>
      <c r="H9" s="86" t="s">
        <v>21</v>
      </c>
      <c r="I9" s="24" t="s">
        <v>20</v>
      </c>
      <c r="J9" s="86">
        <v>0.8</v>
      </c>
      <c r="K9" s="95" t="s">
        <v>4</v>
      </c>
      <c r="L9" s="215" t="s">
        <v>22</v>
      </c>
      <c r="M9" s="239">
        <v>10</v>
      </c>
      <c r="N9" s="95" t="s">
        <v>180</v>
      </c>
      <c r="O9" s="218">
        <v>6</v>
      </c>
      <c r="P9" s="217" t="s">
        <v>182</v>
      </c>
      <c r="Q9" s="86">
        <v>9</v>
      </c>
      <c r="R9" s="86">
        <v>125</v>
      </c>
      <c r="S9" s="86">
        <v>0.33</v>
      </c>
      <c r="T9" s="86">
        <v>0.31</v>
      </c>
      <c r="U9" s="86">
        <v>0.37</v>
      </c>
      <c r="V9" s="86">
        <v>6</v>
      </c>
      <c r="W9" s="86">
        <v>0.54</v>
      </c>
      <c r="X9" s="81" t="s">
        <v>76</v>
      </c>
      <c r="Y9" s="84" t="s">
        <v>40</v>
      </c>
      <c r="Z9" s="86">
        <v>9</v>
      </c>
      <c r="AA9" s="86">
        <v>38.1</v>
      </c>
      <c r="AB9" s="86">
        <v>0.51</v>
      </c>
      <c r="AC9" s="86">
        <v>0.42</v>
      </c>
      <c r="AD9" s="86">
        <v>0.52</v>
      </c>
      <c r="AE9" s="86">
        <v>12</v>
      </c>
      <c r="AF9" s="86">
        <v>0.35</v>
      </c>
      <c r="AG9" s="218" t="s">
        <v>22</v>
      </c>
      <c r="AH9" s="79"/>
      <c r="AI9" s="20">
        <f t="shared" si="0"/>
        <v>2450</v>
      </c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57"/>
      <c r="CF9" s="58"/>
      <c r="CG9" s="86"/>
      <c r="CH9" s="86"/>
      <c r="CI9" s="86"/>
      <c r="CJ9" s="86"/>
      <c r="CK9" s="86"/>
      <c r="CL9" s="86"/>
      <c r="CM9" s="20"/>
      <c r="CN9" s="86"/>
      <c r="CO9" s="86"/>
      <c r="CP9" s="86"/>
      <c r="CQ9" s="86"/>
      <c r="CR9" s="86"/>
      <c r="CS9" s="86"/>
      <c r="CT9" s="86"/>
      <c r="CU9" s="24"/>
      <c r="CV9" s="86"/>
      <c r="CW9" s="86"/>
      <c r="CX9" s="86"/>
      <c r="CY9" s="86"/>
      <c r="CZ9" s="86"/>
      <c r="DA9" s="86"/>
      <c r="DB9" s="86"/>
      <c r="DC9" s="86"/>
      <c r="DD9" s="86"/>
      <c r="DE9" s="28"/>
      <c r="DF9" s="28"/>
      <c r="DG9" s="28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>
        <v>8</v>
      </c>
      <c r="DY9" s="37"/>
      <c r="DZ9" s="62" t="s">
        <v>102</v>
      </c>
      <c r="EA9" s="62" t="s">
        <v>131</v>
      </c>
    </row>
    <row r="10" spans="1:131" s="56" customFormat="1" x14ac:dyDescent="0.35">
      <c r="A10" s="267">
        <f t="shared" ref="A10:A33" si="2">A9+1</f>
        <v>5</v>
      </c>
      <c r="B10" s="274"/>
      <c r="C10" s="96"/>
      <c r="D10" s="95"/>
      <c r="E10" s="95"/>
      <c r="F10" s="95"/>
      <c r="G10" s="95"/>
      <c r="H10" s="86" t="s">
        <v>21</v>
      </c>
      <c r="I10" s="24" t="s">
        <v>20</v>
      </c>
      <c r="J10" s="86">
        <v>0.8</v>
      </c>
      <c r="K10" s="95"/>
      <c r="L10" s="215"/>
      <c r="M10" s="239"/>
      <c r="N10" s="95" t="s">
        <v>179</v>
      </c>
      <c r="O10" s="218">
        <v>1</v>
      </c>
      <c r="P10" s="217" t="s">
        <v>41</v>
      </c>
      <c r="Q10" s="86">
        <v>1</v>
      </c>
      <c r="R10" s="86">
        <v>150</v>
      </c>
      <c r="S10" s="86"/>
      <c r="T10" s="86"/>
      <c r="U10" s="86"/>
      <c r="V10" s="86"/>
      <c r="W10" s="86"/>
      <c r="X10" s="66"/>
      <c r="Y10" s="84"/>
      <c r="Z10" s="86"/>
      <c r="AA10" s="86"/>
      <c r="AB10" s="86"/>
      <c r="AC10" s="86"/>
      <c r="AD10" s="86"/>
      <c r="AE10" s="86"/>
      <c r="AF10" s="86"/>
      <c r="AG10" s="218"/>
      <c r="AH10" s="79"/>
      <c r="AI10" s="20">
        <f t="shared" si="0"/>
        <v>0</v>
      </c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>
        <v>20</v>
      </c>
      <c r="CE10" s="57">
        <v>18</v>
      </c>
      <c r="CF10" s="58"/>
      <c r="CG10" s="86"/>
      <c r="CH10" s="86"/>
      <c r="CI10" s="86"/>
      <c r="CJ10" s="86">
        <v>2</v>
      </c>
      <c r="CK10" s="86"/>
      <c r="CL10" s="86"/>
      <c r="CM10" s="20"/>
      <c r="CN10" s="86">
        <v>600</v>
      </c>
      <c r="CO10" s="86">
        <v>40</v>
      </c>
      <c r="CP10" s="86">
        <v>8</v>
      </c>
      <c r="CQ10" s="86">
        <v>7</v>
      </c>
      <c r="CR10" s="86">
        <v>1.5</v>
      </c>
      <c r="CS10" s="86">
        <v>1</v>
      </c>
      <c r="CT10" s="86" t="s">
        <v>21</v>
      </c>
      <c r="CU10" s="24" t="s">
        <v>20</v>
      </c>
      <c r="CV10" s="86">
        <v>0.8</v>
      </c>
      <c r="CW10" s="86" t="s">
        <v>4</v>
      </c>
      <c r="CX10" s="86" t="s">
        <v>23</v>
      </c>
      <c r="CY10" s="86">
        <v>20</v>
      </c>
      <c r="CZ10" s="86">
        <f>SUM(CE10:CM10)</f>
        <v>20</v>
      </c>
      <c r="DA10" s="86"/>
      <c r="DB10" s="86">
        <v>20</v>
      </c>
      <c r="DC10" s="86">
        <v>70</v>
      </c>
      <c r="DD10" s="86">
        <v>56</v>
      </c>
      <c r="DE10" s="28">
        <f t="shared" si="1"/>
        <v>4903.6000000000004</v>
      </c>
      <c r="DF10" s="28">
        <f t="shared" ref="DF10:DF12" si="3">DC10*DB10*1.15*4100/1000</f>
        <v>6600.9999999999991</v>
      </c>
      <c r="DG10" s="28">
        <f t="shared" ref="DG10:DG12" si="4">DB10*DD10*4100/1000</f>
        <v>4592</v>
      </c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>
        <v>8</v>
      </c>
      <c r="DZ10" s="62"/>
      <c r="EA10" s="62"/>
    </row>
    <row r="11" spans="1:131" s="56" customFormat="1" x14ac:dyDescent="0.35">
      <c r="A11" s="267">
        <v>5</v>
      </c>
      <c r="B11" s="274" t="s">
        <v>150</v>
      </c>
      <c r="C11" s="95">
        <v>315</v>
      </c>
      <c r="D11" s="95">
        <v>35</v>
      </c>
      <c r="E11" s="95">
        <v>8</v>
      </c>
      <c r="F11" s="95">
        <v>5</v>
      </c>
      <c r="G11" s="95">
        <v>0.5</v>
      </c>
      <c r="H11" s="86" t="s">
        <v>21</v>
      </c>
      <c r="I11" s="24" t="s">
        <v>20</v>
      </c>
      <c r="J11" s="86">
        <v>0.8</v>
      </c>
      <c r="K11" s="95" t="s">
        <v>4</v>
      </c>
      <c r="L11" s="215" t="s">
        <v>24</v>
      </c>
      <c r="M11" s="239">
        <v>5</v>
      </c>
      <c r="N11" s="95" t="s">
        <v>180</v>
      </c>
      <c r="O11" s="218">
        <v>2</v>
      </c>
      <c r="P11" s="217" t="s">
        <v>182</v>
      </c>
      <c r="Q11" s="86">
        <v>7</v>
      </c>
      <c r="R11" s="86">
        <v>125</v>
      </c>
      <c r="S11" s="86">
        <v>0.36</v>
      </c>
      <c r="T11" s="86">
        <v>0.41</v>
      </c>
      <c r="U11" s="86">
        <v>0.35</v>
      </c>
      <c r="V11" s="86">
        <v>5</v>
      </c>
      <c r="W11" s="86">
        <v>0.51</v>
      </c>
      <c r="X11" s="81" t="s">
        <v>76</v>
      </c>
      <c r="Y11" s="84" t="s">
        <v>40</v>
      </c>
      <c r="Z11" s="86">
        <v>9</v>
      </c>
      <c r="AA11" s="86">
        <v>20</v>
      </c>
      <c r="AB11" s="86">
        <v>0.33</v>
      </c>
      <c r="AC11" s="86">
        <v>0.56000000000000005</v>
      </c>
      <c r="AD11" s="86">
        <v>0.51</v>
      </c>
      <c r="AE11" s="86">
        <v>14</v>
      </c>
      <c r="AF11" s="86">
        <v>0.35</v>
      </c>
      <c r="AG11" s="218" t="s">
        <v>24</v>
      </c>
      <c r="AH11" s="79"/>
      <c r="AI11" s="20">
        <f t="shared" si="0"/>
        <v>1575</v>
      </c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57"/>
      <c r="CF11" s="58"/>
      <c r="CG11" s="86"/>
      <c r="CH11" s="86"/>
      <c r="CI11" s="86"/>
      <c r="CJ11" s="86"/>
      <c r="CK11" s="86"/>
      <c r="CL11" s="86"/>
      <c r="CM11" s="20"/>
      <c r="CN11" s="86"/>
      <c r="CO11" s="86"/>
      <c r="CP11" s="86"/>
      <c r="CQ11" s="86"/>
      <c r="CR11" s="86"/>
      <c r="CS11" s="86"/>
      <c r="CT11" s="86"/>
      <c r="CU11" s="24"/>
      <c r="CV11" s="86"/>
      <c r="CW11" s="86"/>
      <c r="CX11" s="86"/>
      <c r="CY11" s="86"/>
      <c r="CZ11" s="86"/>
      <c r="DA11" s="86"/>
      <c r="DB11" s="86"/>
      <c r="DC11" s="86"/>
      <c r="DD11" s="86"/>
      <c r="DE11" s="28"/>
      <c r="DF11" s="28"/>
      <c r="DG11" s="28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>
        <v>124</v>
      </c>
      <c r="DY11" s="37"/>
      <c r="DZ11" s="62"/>
      <c r="EA11" s="62" t="s">
        <v>132</v>
      </c>
    </row>
    <row r="12" spans="1:131" s="56" customFormat="1" x14ac:dyDescent="0.35">
      <c r="A12" s="267">
        <f t="shared" si="2"/>
        <v>6</v>
      </c>
      <c r="B12" s="274"/>
      <c r="C12" s="95"/>
      <c r="D12" s="95"/>
      <c r="E12" s="95"/>
      <c r="F12" s="95"/>
      <c r="G12" s="95"/>
      <c r="H12" s="86"/>
      <c r="I12" s="24" t="s">
        <v>20</v>
      </c>
      <c r="J12" s="86">
        <v>0.8</v>
      </c>
      <c r="K12" s="95"/>
      <c r="L12" s="215"/>
      <c r="M12" s="239"/>
      <c r="N12" s="95" t="s">
        <v>179</v>
      </c>
      <c r="O12" s="218">
        <v>2</v>
      </c>
      <c r="P12" s="217" t="s">
        <v>41</v>
      </c>
      <c r="Q12" s="86">
        <v>2</v>
      </c>
      <c r="R12" s="86">
        <v>150</v>
      </c>
      <c r="S12" s="24"/>
      <c r="T12" s="24"/>
      <c r="U12" s="24"/>
      <c r="V12" s="24"/>
      <c r="W12" s="24"/>
      <c r="X12" s="81"/>
      <c r="Y12" s="84"/>
      <c r="Z12" s="86"/>
      <c r="AA12" s="86"/>
      <c r="AB12" s="86"/>
      <c r="AC12" s="86"/>
      <c r="AD12" s="86"/>
      <c r="AE12" s="86"/>
      <c r="AF12" s="86"/>
      <c r="AG12" s="218"/>
      <c r="AH12" s="80"/>
      <c r="AI12" s="20">
        <f t="shared" si="0"/>
        <v>0</v>
      </c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20">
        <v>46</v>
      </c>
      <c r="CE12" s="57">
        <v>22</v>
      </c>
      <c r="CF12" s="58"/>
      <c r="CG12" s="86">
        <v>1</v>
      </c>
      <c r="CH12" s="86"/>
      <c r="CI12" s="86">
        <v>22</v>
      </c>
      <c r="CJ12" s="86"/>
      <c r="CK12" s="86"/>
      <c r="CL12" s="86"/>
      <c r="CM12" s="20"/>
      <c r="CN12" s="86">
        <v>1100</v>
      </c>
      <c r="CO12" s="86">
        <v>50</v>
      </c>
      <c r="CP12" s="86">
        <v>8</v>
      </c>
      <c r="CQ12" s="86">
        <v>7</v>
      </c>
      <c r="CR12" s="86">
        <v>2</v>
      </c>
      <c r="CS12" s="86">
        <v>2</v>
      </c>
      <c r="CT12" s="86" t="s">
        <v>21</v>
      </c>
      <c r="CU12" s="24" t="s">
        <v>20</v>
      </c>
      <c r="CV12" s="86">
        <v>0.8</v>
      </c>
      <c r="CW12" s="86" t="s">
        <v>4</v>
      </c>
      <c r="CX12" s="86" t="s">
        <v>23</v>
      </c>
      <c r="CY12" s="86">
        <v>46</v>
      </c>
      <c r="CZ12" s="86">
        <f>SUM(CE12:CM12)</f>
        <v>45</v>
      </c>
      <c r="DA12" s="86"/>
      <c r="DB12" s="86">
        <f>41+12</f>
        <v>53</v>
      </c>
      <c r="DC12" s="86">
        <v>100</v>
      </c>
      <c r="DD12" s="86">
        <v>80</v>
      </c>
      <c r="DE12" s="28">
        <f t="shared" si="1"/>
        <v>16030.999999999998</v>
      </c>
      <c r="DF12" s="28">
        <f t="shared" si="3"/>
        <v>24989.499999999996</v>
      </c>
      <c r="DG12" s="28">
        <f t="shared" si="4"/>
        <v>17384</v>
      </c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>
        <v>60</v>
      </c>
      <c r="DZ12" s="62"/>
      <c r="EA12" s="62"/>
    </row>
    <row r="13" spans="1:131" s="56" customFormat="1" ht="15.5" x14ac:dyDescent="0.35">
      <c r="A13" s="233">
        <v>6</v>
      </c>
      <c r="B13" s="178" t="s">
        <v>151</v>
      </c>
      <c r="C13" s="95">
        <v>250</v>
      </c>
      <c r="D13" s="95">
        <v>35</v>
      </c>
      <c r="E13" s="95">
        <v>8</v>
      </c>
      <c r="F13" s="95">
        <v>4</v>
      </c>
      <c r="G13" s="95">
        <v>0.5</v>
      </c>
      <c r="H13" s="24"/>
      <c r="I13" s="24" t="s">
        <v>20</v>
      </c>
      <c r="J13" s="86">
        <v>0.8</v>
      </c>
      <c r="K13" s="95" t="s">
        <v>4</v>
      </c>
      <c r="L13" s="215" t="s">
        <v>24</v>
      </c>
      <c r="M13" s="239">
        <v>6</v>
      </c>
      <c r="N13" s="95" t="s">
        <v>180</v>
      </c>
      <c r="O13" s="218">
        <v>1</v>
      </c>
      <c r="P13" s="217" t="s">
        <v>182</v>
      </c>
      <c r="Q13" s="86">
        <v>7</v>
      </c>
      <c r="R13" s="86">
        <v>125</v>
      </c>
      <c r="S13" s="24">
        <v>0.38</v>
      </c>
      <c r="T13" s="24">
        <v>0.43</v>
      </c>
      <c r="U13" s="24">
        <v>0.36</v>
      </c>
      <c r="V13" s="24">
        <v>5</v>
      </c>
      <c r="W13" s="24">
        <v>0.63</v>
      </c>
      <c r="X13" s="81" t="s">
        <v>76</v>
      </c>
      <c r="Y13" s="84" t="s">
        <v>40</v>
      </c>
      <c r="Z13" s="86">
        <v>7</v>
      </c>
      <c r="AA13" s="86">
        <v>20</v>
      </c>
      <c r="AB13" s="24">
        <v>0.35</v>
      </c>
      <c r="AC13" s="24">
        <v>0.56999999999999995</v>
      </c>
      <c r="AD13" s="24">
        <v>0.47</v>
      </c>
      <c r="AE13" s="24">
        <v>14</v>
      </c>
      <c r="AF13" s="24">
        <v>0.42</v>
      </c>
      <c r="AG13" s="218" t="s">
        <v>24</v>
      </c>
      <c r="AH13" s="80"/>
      <c r="AI13" s="20">
        <f t="shared" si="0"/>
        <v>1000</v>
      </c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20"/>
      <c r="CE13" s="57"/>
      <c r="CF13" s="58"/>
      <c r="CG13" s="86"/>
      <c r="CH13" s="86"/>
      <c r="CI13" s="86"/>
      <c r="CJ13" s="86"/>
      <c r="CK13" s="86"/>
      <c r="CL13" s="86"/>
      <c r="CM13" s="20"/>
      <c r="CN13" s="86"/>
      <c r="CO13" s="86"/>
      <c r="CP13" s="86"/>
      <c r="CQ13" s="86"/>
      <c r="CR13" s="86"/>
      <c r="CS13" s="86"/>
      <c r="CT13" s="86"/>
      <c r="CU13" s="24"/>
      <c r="CV13" s="86"/>
      <c r="CW13" s="86"/>
      <c r="CX13" s="86"/>
      <c r="CY13" s="86"/>
      <c r="CZ13" s="86"/>
      <c r="DA13" s="86"/>
      <c r="DB13" s="86"/>
      <c r="DC13" s="86"/>
      <c r="DD13" s="86"/>
      <c r="DE13" s="28"/>
      <c r="DF13" s="28"/>
      <c r="DG13" s="28"/>
      <c r="DI13" s="37"/>
      <c r="DJ13" s="37"/>
      <c r="DK13" s="37"/>
      <c r="DL13" s="37"/>
      <c r="DM13" s="37"/>
      <c r="DN13" s="37"/>
      <c r="DO13" s="37"/>
      <c r="DP13" s="37">
        <v>4</v>
      </c>
      <c r="DQ13" s="37"/>
      <c r="DR13" s="37"/>
      <c r="DS13" s="37"/>
      <c r="DT13" s="37"/>
      <c r="DU13" s="37"/>
      <c r="DV13" s="37"/>
      <c r="DW13" s="37"/>
      <c r="DX13" s="37"/>
      <c r="DY13" s="37"/>
      <c r="DZ13" s="62" t="s">
        <v>96</v>
      </c>
      <c r="EA13" s="62" t="s">
        <v>133</v>
      </c>
    </row>
    <row r="14" spans="1:131" s="56" customFormat="1" x14ac:dyDescent="0.35">
      <c r="A14" s="267">
        <v>7</v>
      </c>
      <c r="B14" s="274" t="s">
        <v>152</v>
      </c>
      <c r="C14" s="95">
        <v>260</v>
      </c>
      <c r="D14" s="95">
        <v>35</v>
      </c>
      <c r="E14" s="95">
        <v>8</v>
      </c>
      <c r="F14" s="95">
        <v>5</v>
      </c>
      <c r="G14" s="95">
        <v>0.5</v>
      </c>
      <c r="H14" s="86" t="s">
        <v>21</v>
      </c>
      <c r="I14" s="24" t="s">
        <v>20</v>
      </c>
      <c r="J14" s="86">
        <v>0.8</v>
      </c>
      <c r="K14" s="95" t="s">
        <v>4</v>
      </c>
      <c r="L14" s="215" t="s">
        <v>22</v>
      </c>
      <c r="M14" s="239">
        <v>9</v>
      </c>
      <c r="N14" s="95" t="s">
        <v>181</v>
      </c>
      <c r="O14" s="218">
        <v>2</v>
      </c>
      <c r="P14" s="217" t="s">
        <v>184</v>
      </c>
      <c r="Q14" s="86">
        <v>6</v>
      </c>
      <c r="R14" s="86">
        <v>72</v>
      </c>
      <c r="S14" s="86">
        <v>0.33</v>
      </c>
      <c r="T14" s="86">
        <v>0.44</v>
      </c>
      <c r="U14" s="86">
        <v>0.56999999999999995</v>
      </c>
      <c r="V14" s="86">
        <v>18</v>
      </c>
      <c r="W14" s="86">
        <v>0.52</v>
      </c>
      <c r="X14" s="81" t="s">
        <v>76</v>
      </c>
      <c r="Y14" s="84" t="s">
        <v>40</v>
      </c>
      <c r="Z14" s="86">
        <v>9</v>
      </c>
      <c r="AA14" s="86">
        <v>28</v>
      </c>
      <c r="AB14" s="86">
        <v>0.52</v>
      </c>
      <c r="AC14" s="86">
        <v>0.62</v>
      </c>
      <c r="AD14" s="86">
        <v>0.6</v>
      </c>
      <c r="AE14" s="86">
        <v>14</v>
      </c>
      <c r="AF14" s="86">
        <v>0.32</v>
      </c>
      <c r="AG14" s="218" t="s">
        <v>22</v>
      </c>
      <c r="AH14" s="80"/>
      <c r="AI14" s="20">
        <f t="shared" si="0"/>
        <v>1300</v>
      </c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2"/>
      <c r="BW14" s="82"/>
      <c r="BX14" s="82"/>
      <c r="BY14" s="82"/>
      <c r="BZ14" s="82"/>
      <c r="CA14" s="82"/>
      <c r="CB14" s="82"/>
      <c r="CC14" s="82"/>
      <c r="CD14" s="20"/>
      <c r="CE14" s="57"/>
      <c r="CF14" s="58"/>
      <c r="CG14" s="86"/>
      <c r="CH14" s="86"/>
      <c r="CI14" s="86"/>
      <c r="CJ14" s="86"/>
      <c r="CK14" s="86"/>
      <c r="CL14" s="86"/>
      <c r="CM14" s="20"/>
      <c r="CN14" s="86"/>
      <c r="CO14" s="86"/>
      <c r="CP14" s="86"/>
      <c r="CQ14" s="86"/>
      <c r="CR14" s="86"/>
      <c r="CS14" s="86"/>
      <c r="CT14" s="86"/>
      <c r="CU14" s="24"/>
      <c r="CV14" s="86"/>
      <c r="CW14" s="86"/>
      <c r="CX14" s="86"/>
      <c r="CY14" s="86"/>
      <c r="CZ14" s="86"/>
      <c r="DA14" s="86"/>
      <c r="DB14" s="86"/>
      <c r="DC14" s="86"/>
      <c r="DD14" s="86"/>
      <c r="DE14" s="28"/>
      <c r="DF14" s="28"/>
      <c r="DG14" s="28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>
        <v>20</v>
      </c>
      <c r="DW14" s="37"/>
      <c r="DX14" s="37"/>
      <c r="DY14" s="37"/>
      <c r="DZ14" s="62"/>
      <c r="EA14" s="62" t="s">
        <v>134</v>
      </c>
    </row>
    <row r="15" spans="1:131" s="56" customFormat="1" x14ac:dyDescent="0.35">
      <c r="A15" s="267">
        <f t="shared" si="2"/>
        <v>8</v>
      </c>
      <c r="B15" s="274"/>
      <c r="C15" s="95"/>
      <c r="D15" s="95"/>
      <c r="E15" s="95"/>
      <c r="F15" s="95"/>
      <c r="G15" s="95"/>
      <c r="H15" s="86" t="s">
        <v>21</v>
      </c>
      <c r="I15" s="24" t="s">
        <v>20</v>
      </c>
      <c r="J15" s="86">
        <v>0.8</v>
      </c>
      <c r="K15" s="95"/>
      <c r="L15" s="215"/>
      <c r="M15" s="239"/>
      <c r="N15" s="95" t="s">
        <v>180</v>
      </c>
      <c r="O15" s="218">
        <v>3</v>
      </c>
      <c r="P15" s="217" t="s">
        <v>182</v>
      </c>
      <c r="Q15" s="86">
        <v>3</v>
      </c>
      <c r="R15" s="86">
        <v>125</v>
      </c>
      <c r="S15" s="86"/>
      <c r="T15" s="86"/>
      <c r="U15" s="86"/>
      <c r="V15" s="86"/>
      <c r="W15" s="86"/>
      <c r="X15" s="81"/>
      <c r="Y15" s="84"/>
      <c r="Z15" s="86"/>
      <c r="AA15" s="86"/>
      <c r="AB15" s="86"/>
      <c r="AC15" s="86"/>
      <c r="AD15" s="86"/>
      <c r="AE15" s="86"/>
      <c r="AF15" s="86"/>
      <c r="AG15" s="218"/>
      <c r="AH15" s="79"/>
      <c r="AI15" s="20">
        <f t="shared" si="0"/>
        <v>0</v>
      </c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>
        <v>6</v>
      </c>
      <c r="CE15" s="57">
        <v>4</v>
      </c>
      <c r="CF15" s="58"/>
      <c r="CG15" s="86"/>
      <c r="CH15" s="86"/>
      <c r="CI15" s="86"/>
      <c r="CJ15" s="86"/>
      <c r="CK15" s="86"/>
      <c r="CL15" s="86"/>
      <c r="CM15" s="20"/>
      <c r="CN15" s="86">
        <v>160</v>
      </c>
      <c r="CO15" s="86">
        <v>38</v>
      </c>
      <c r="CP15" s="86">
        <v>8</v>
      </c>
      <c r="CQ15" s="86">
        <v>7</v>
      </c>
      <c r="CR15" s="86">
        <v>1</v>
      </c>
      <c r="CS15" s="86">
        <v>0.5</v>
      </c>
      <c r="CT15" s="86" t="s">
        <v>21</v>
      </c>
      <c r="CU15" s="24" t="s">
        <v>20</v>
      </c>
      <c r="CV15" s="86">
        <v>0.8</v>
      </c>
      <c r="CW15" s="86" t="s">
        <v>4</v>
      </c>
      <c r="CX15" s="86" t="s">
        <v>22</v>
      </c>
      <c r="CY15" s="86">
        <v>6</v>
      </c>
      <c r="CZ15" s="86">
        <f t="shared" ref="CZ15:CZ27" si="5">SUM(CE15:CM15)</f>
        <v>4</v>
      </c>
      <c r="DA15" s="86"/>
      <c r="DB15" s="86">
        <v>6</v>
      </c>
      <c r="DC15" s="86">
        <v>70</v>
      </c>
      <c r="DD15" s="86">
        <v>56</v>
      </c>
      <c r="DE15" s="28">
        <f t="shared" si="1"/>
        <v>942.99999999999989</v>
      </c>
      <c r="DF15" s="28">
        <f t="shared" ref="DF15:DF51" si="6">DC15*DB15*1.15*4100/1000</f>
        <v>1980.2999999999997</v>
      </c>
      <c r="DG15" s="28">
        <f t="shared" ref="DG15:DG51" si="7">DB15*DD15*4100/1000</f>
        <v>1377.6</v>
      </c>
      <c r="DI15" s="37"/>
      <c r="DJ15" s="37"/>
      <c r="DK15" s="37"/>
      <c r="DL15" s="37"/>
      <c r="DM15" s="37"/>
      <c r="DN15" s="37"/>
      <c r="DO15" s="37"/>
      <c r="DP15" s="37"/>
      <c r="DQ15" s="37">
        <v>65</v>
      </c>
      <c r="DR15" s="37"/>
      <c r="DS15" s="37"/>
      <c r="DT15" s="37"/>
      <c r="DU15" s="37"/>
      <c r="DV15" s="37"/>
      <c r="DW15" s="37"/>
      <c r="DX15" s="37"/>
      <c r="DY15" s="37"/>
      <c r="DZ15" s="62" t="s">
        <v>103</v>
      </c>
      <c r="EA15" s="62"/>
    </row>
    <row r="16" spans="1:131" s="56" customFormat="1" x14ac:dyDescent="0.35">
      <c r="A16" s="267">
        <v>8</v>
      </c>
      <c r="B16" s="274" t="s">
        <v>153</v>
      </c>
      <c r="C16" s="95">
        <v>180</v>
      </c>
      <c r="D16" s="95">
        <v>35</v>
      </c>
      <c r="E16" s="95">
        <v>8</v>
      </c>
      <c r="F16" s="95">
        <v>5</v>
      </c>
      <c r="G16" s="95">
        <v>0.5</v>
      </c>
      <c r="H16" s="86"/>
      <c r="I16" s="24" t="s">
        <v>20</v>
      </c>
      <c r="J16" s="86">
        <v>0.8</v>
      </c>
      <c r="K16" s="95" t="s">
        <v>4</v>
      </c>
      <c r="L16" s="215" t="s">
        <v>22</v>
      </c>
      <c r="M16" s="239">
        <v>6</v>
      </c>
      <c r="N16" s="95" t="s">
        <v>181</v>
      </c>
      <c r="O16" s="218">
        <v>1</v>
      </c>
      <c r="P16" s="217" t="s">
        <v>184</v>
      </c>
      <c r="Q16" s="86">
        <v>5</v>
      </c>
      <c r="R16" s="86">
        <v>72</v>
      </c>
      <c r="S16" s="86">
        <v>0.33</v>
      </c>
      <c r="T16" s="86">
        <v>0.44</v>
      </c>
      <c r="U16" s="86">
        <v>0.56999999999999995</v>
      </c>
      <c r="V16" s="86">
        <v>18</v>
      </c>
      <c r="W16" s="86">
        <v>0.52</v>
      </c>
      <c r="X16" s="81" t="s">
        <v>76</v>
      </c>
      <c r="Y16" s="84" t="s">
        <v>40</v>
      </c>
      <c r="Z16" s="86">
        <v>6</v>
      </c>
      <c r="AA16" s="86">
        <v>28</v>
      </c>
      <c r="AB16" s="86">
        <v>0.52</v>
      </c>
      <c r="AC16" s="86">
        <v>0.62</v>
      </c>
      <c r="AD16" s="86">
        <v>0.6</v>
      </c>
      <c r="AE16" s="86">
        <v>14</v>
      </c>
      <c r="AF16" s="86">
        <v>0.32</v>
      </c>
      <c r="AG16" s="218" t="s">
        <v>22</v>
      </c>
      <c r="AH16" s="79"/>
      <c r="AI16" s="20">
        <f t="shared" si="0"/>
        <v>900</v>
      </c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>
        <v>3</v>
      </c>
      <c r="CE16" s="57">
        <v>3</v>
      </c>
      <c r="CF16" s="58"/>
      <c r="CG16" s="86"/>
      <c r="CH16" s="86"/>
      <c r="CI16" s="86"/>
      <c r="CJ16" s="86"/>
      <c r="CK16" s="86"/>
      <c r="CL16" s="86"/>
      <c r="CM16" s="20"/>
      <c r="CN16" s="86">
        <v>140</v>
      </c>
      <c r="CO16" s="86">
        <v>38</v>
      </c>
      <c r="CP16" s="86">
        <v>8</v>
      </c>
      <c r="CQ16" s="86">
        <v>7</v>
      </c>
      <c r="CR16" s="86">
        <v>2</v>
      </c>
      <c r="CS16" s="86">
        <v>2</v>
      </c>
      <c r="CT16" s="86" t="s">
        <v>21</v>
      </c>
      <c r="CU16" s="24" t="s">
        <v>20</v>
      </c>
      <c r="CV16" s="86">
        <v>0.8</v>
      </c>
      <c r="CW16" s="86" t="s">
        <v>4</v>
      </c>
      <c r="CX16" s="86" t="s">
        <v>22</v>
      </c>
      <c r="CY16" s="86">
        <v>3</v>
      </c>
      <c r="CZ16" s="86">
        <f t="shared" si="5"/>
        <v>3</v>
      </c>
      <c r="DA16" s="86"/>
      <c r="DB16" s="86">
        <v>3</v>
      </c>
      <c r="DC16" s="86">
        <v>70</v>
      </c>
      <c r="DD16" s="86">
        <v>55</v>
      </c>
      <c r="DE16" s="28">
        <f t="shared" si="1"/>
        <v>707.25</v>
      </c>
      <c r="DF16" s="28">
        <f t="shared" si="6"/>
        <v>990.14999999999986</v>
      </c>
      <c r="DG16" s="28">
        <f t="shared" si="7"/>
        <v>676.5</v>
      </c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>
        <v>47</v>
      </c>
      <c r="DT16" s="37"/>
      <c r="DU16" s="37"/>
      <c r="DV16" s="37"/>
      <c r="DW16" s="37"/>
      <c r="DX16" s="37"/>
      <c r="DY16" s="37"/>
      <c r="DZ16" s="62" t="s">
        <v>104</v>
      </c>
      <c r="EA16" s="62"/>
    </row>
    <row r="17" spans="1:131" s="56" customFormat="1" x14ac:dyDescent="0.35">
      <c r="A17" s="267">
        <f t="shared" si="2"/>
        <v>9</v>
      </c>
      <c r="B17" s="274"/>
      <c r="C17" s="95"/>
      <c r="D17" s="95"/>
      <c r="E17" s="95"/>
      <c r="F17" s="95"/>
      <c r="G17" s="95"/>
      <c r="H17" s="86"/>
      <c r="I17" s="24" t="s">
        <v>20</v>
      </c>
      <c r="J17" s="86">
        <v>0.8</v>
      </c>
      <c r="K17" s="95" t="s">
        <v>4</v>
      </c>
      <c r="L17" s="215"/>
      <c r="M17" s="239"/>
      <c r="N17" s="95" t="s">
        <v>180</v>
      </c>
      <c r="O17" s="218">
        <v>1</v>
      </c>
      <c r="P17" s="217" t="s">
        <v>182</v>
      </c>
      <c r="Q17" s="86">
        <v>1</v>
      </c>
      <c r="R17" s="86">
        <v>125</v>
      </c>
      <c r="S17" s="86"/>
      <c r="T17" s="86"/>
      <c r="U17" s="86"/>
      <c r="V17" s="86"/>
      <c r="W17" s="86"/>
      <c r="X17" s="81"/>
      <c r="Y17" s="84"/>
      <c r="Z17" s="86"/>
      <c r="AA17" s="86"/>
      <c r="AB17" s="86"/>
      <c r="AC17" s="86"/>
      <c r="AD17" s="86"/>
      <c r="AE17" s="86"/>
      <c r="AF17" s="86"/>
      <c r="AG17" s="218"/>
      <c r="AH17" s="79"/>
      <c r="AI17" s="20">
        <f t="shared" si="0"/>
        <v>0</v>
      </c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>
        <v>13</v>
      </c>
      <c r="CE17" s="57">
        <v>13</v>
      </c>
      <c r="CF17" s="58"/>
      <c r="CG17" s="86"/>
      <c r="CH17" s="86"/>
      <c r="CI17" s="86"/>
      <c r="CJ17" s="86"/>
      <c r="CK17" s="86"/>
      <c r="CL17" s="86"/>
      <c r="CM17" s="20"/>
      <c r="CN17" s="86">
        <v>594</v>
      </c>
      <c r="CO17" s="86">
        <v>30</v>
      </c>
      <c r="CP17" s="86">
        <v>8</v>
      </c>
      <c r="CQ17" s="86">
        <v>7</v>
      </c>
      <c r="CR17" s="86">
        <v>2</v>
      </c>
      <c r="CS17" s="86">
        <v>2</v>
      </c>
      <c r="CT17" s="86" t="s">
        <v>21</v>
      </c>
      <c r="CU17" s="24" t="s">
        <v>20</v>
      </c>
      <c r="CV17" s="86">
        <v>0.8</v>
      </c>
      <c r="CW17" s="86" t="s">
        <v>4</v>
      </c>
      <c r="CX17" s="86" t="s">
        <v>23</v>
      </c>
      <c r="CY17" s="86">
        <v>13</v>
      </c>
      <c r="CZ17" s="86">
        <f t="shared" si="5"/>
        <v>13</v>
      </c>
      <c r="DA17" s="86"/>
      <c r="DB17" s="86">
        <v>13</v>
      </c>
      <c r="DC17" s="86">
        <v>70</v>
      </c>
      <c r="DD17" s="86">
        <v>55</v>
      </c>
      <c r="DE17" s="28">
        <f t="shared" si="1"/>
        <v>3064.7499999999995</v>
      </c>
      <c r="DF17" s="28">
        <f t="shared" si="6"/>
        <v>4290.6499999999996</v>
      </c>
      <c r="DG17" s="28">
        <f t="shared" si="7"/>
        <v>2931.5</v>
      </c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>
        <v>60</v>
      </c>
      <c r="DU17" s="37"/>
      <c r="DV17" s="37"/>
      <c r="DW17" s="37"/>
      <c r="DX17" s="37"/>
      <c r="DY17" s="37"/>
      <c r="DZ17" s="62" t="s">
        <v>105</v>
      </c>
      <c r="EA17" s="62"/>
    </row>
    <row r="18" spans="1:131" s="56" customFormat="1" ht="15.5" x14ac:dyDescent="0.35">
      <c r="A18" s="233">
        <v>9</v>
      </c>
      <c r="B18" s="178" t="s">
        <v>154</v>
      </c>
      <c r="C18" s="95">
        <v>200</v>
      </c>
      <c r="D18" s="95">
        <v>35</v>
      </c>
      <c r="E18" s="95">
        <v>8</v>
      </c>
      <c r="F18" s="95">
        <v>3</v>
      </c>
      <c r="G18" s="95">
        <v>0.5</v>
      </c>
      <c r="H18" s="86"/>
      <c r="I18" s="24" t="s">
        <v>20</v>
      </c>
      <c r="J18" s="86">
        <v>0.8</v>
      </c>
      <c r="K18" s="95" t="s">
        <v>4</v>
      </c>
      <c r="L18" s="215" t="s">
        <v>24</v>
      </c>
      <c r="M18" s="239"/>
      <c r="N18" s="95"/>
      <c r="O18" s="218"/>
      <c r="P18" s="217" t="s">
        <v>41</v>
      </c>
      <c r="Q18" s="86">
        <v>5</v>
      </c>
      <c r="R18" s="86">
        <v>70</v>
      </c>
      <c r="S18" s="86">
        <v>0.55000000000000004</v>
      </c>
      <c r="T18" s="86">
        <v>0.56000000000000005</v>
      </c>
      <c r="U18" s="86">
        <v>0.41</v>
      </c>
      <c r="V18" s="86">
        <v>5</v>
      </c>
      <c r="W18" s="86">
        <v>0.66</v>
      </c>
      <c r="X18" s="81" t="s">
        <v>24</v>
      </c>
      <c r="Y18" s="84" t="s">
        <v>40</v>
      </c>
      <c r="Z18" s="86">
        <v>5</v>
      </c>
      <c r="AA18" s="86">
        <v>20</v>
      </c>
      <c r="AB18" s="86">
        <v>0.37</v>
      </c>
      <c r="AC18" s="86">
        <v>0.51</v>
      </c>
      <c r="AD18" s="86">
        <v>0.4</v>
      </c>
      <c r="AE18" s="86">
        <v>13</v>
      </c>
      <c r="AF18" s="86">
        <v>0.49</v>
      </c>
      <c r="AG18" s="218" t="s">
        <v>24</v>
      </c>
      <c r="AH18" s="79"/>
      <c r="AI18" s="20">
        <f t="shared" si="0"/>
        <v>600</v>
      </c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>
        <v>2</v>
      </c>
      <c r="CE18" s="57">
        <v>2</v>
      </c>
      <c r="CF18" s="58"/>
      <c r="CG18" s="86"/>
      <c r="CH18" s="86"/>
      <c r="CI18" s="86"/>
      <c r="CJ18" s="86"/>
      <c r="CK18" s="86"/>
      <c r="CL18" s="86"/>
      <c r="CM18" s="20"/>
      <c r="CN18" s="86">
        <v>193</v>
      </c>
      <c r="CO18" s="86">
        <v>40</v>
      </c>
      <c r="CP18" s="86">
        <v>8</v>
      </c>
      <c r="CQ18" s="86">
        <v>7</v>
      </c>
      <c r="CR18" s="86">
        <v>2</v>
      </c>
      <c r="CS18" s="86">
        <v>2</v>
      </c>
      <c r="CT18" s="86" t="s">
        <v>21</v>
      </c>
      <c r="CU18" s="24" t="s">
        <v>20</v>
      </c>
      <c r="CV18" s="86">
        <v>0.8</v>
      </c>
      <c r="CW18" s="86" t="s">
        <v>4</v>
      </c>
      <c r="CX18" s="86" t="s">
        <v>22</v>
      </c>
      <c r="CY18" s="86">
        <v>2</v>
      </c>
      <c r="CZ18" s="86">
        <f t="shared" si="5"/>
        <v>2</v>
      </c>
      <c r="DA18" s="86"/>
      <c r="DB18" s="86">
        <v>2</v>
      </c>
      <c r="DC18" s="86">
        <v>70</v>
      </c>
      <c r="DD18" s="86">
        <v>55</v>
      </c>
      <c r="DE18" s="28">
        <f t="shared" si="1"/>
        <v>471.49999999999994</v>
      </c>
      <c r="DF18" s="28">
        <f t="shared" si="6"/>
        <v>660.1</v>
      </c>
      <c r="DG18" s="28">
        <f t="shared" si="7"/>
        <v>451</v>
      </c>
      <c r="DI18" s="37"/>
      <c r="DJ18" s="37"/>
      <c r="DK18" s="37"/>
      <c r="DL18" s="37"/>
      <c r="DM18" s="37"/>
      <c r="DN18" s="37"/>
      <c r="DO18" s="37"/>
      <c r="DP18" s="37">
        <v>24</v>
      </c>
      <c r="DQ18" s="37"/>
      <c r="DR18" s="37"/>
      <c r="DS18" s="37"/>
      <c r="DT18" s="37"/>
      <c r="DU18" s="37"/>
      <c r="DV18" s="37"/>
      <c r="DW18" s="37"/>
      <c r="DX18" s="37"/>
      <c r="DY18" s="37"/>
      <c r="DZ18" s="62" t="s">
        <v>106</v>
      </c>
      <c r="EA18" s="62"/>
    </row>
    <row r="19" spans="1:131" s="56" customFormat="1" x14ac:dyDescent="0.35">
      <c r="A19" s="267">
        <v>10</v>
      </c>
      <c r="B19" s="274" t="s">
        <v>155</v>
      </c>
      <c r="C19" s="95">
        <v>290</v>
      </c>
      <c r="D19" s="95">
        <v>35</v>
      </c>
      <c r="E19" s="95">
        <v>8</v>
      </c>
      <c r="F19" s="95">
        <v>4</v>
      </c>
      <c r="G19" s="95">
        <v>0.5</v>
      </c>
      <c r="H19" s="86" t="s">
        <v>21</v>
      </c>
      <c r="I19" s="24" t="s">
        <v>20</v>
      </c>
      <c r="J19" s="86">
        <v>0.8</v>
      </c>
      <c r="K19" s="95" t="s">
        <v>4</v>
      </c>
      <c r="L19" s="215" t="s">
        <v>24</v>
      </c>
      <c r="M19" s="239">
        <v>4</v>
      </c>
      <c r="N19" s="95" t="s">
        <v>181</v>
      </c>
      <c r="O19" s="218">
        <v>1</v>
      </c>
      <c r="P19" s="217" t="s">
        <v>184</v>
      </c>
      <c r="Q19" s="86">
        <v>6</v>
      </c>
      <c r="R19" s="86">
        <v>72</v>
      </c>
      <c r="S19" s="86">
        <v>0.42</v>
      </c>
      <c r="T19" s="86">
        <v>0.37</v>
      </c>
      <c r="U19" s="86">
        <v>0.42</v>
      </c>
      <c r="V19" s="86">
        <v>24</v>
      </c>
      <c r="W19" s="86">
        <v>0.47</v>
      </c>
      <c r="X19" s="81" t="s">
        <v>76</v>
      </c>
      <c r="Y19" s="84" t="s">
        <v>40</v>
      </c>
      <c r="Z19" s="86">
        <v>8</v>
      </c>
      <c r="AA19" s="86">
        <v>20</v>
      </c>
      <c r="AB19" s="86">
        <v>0.35</v>
      </c>
      <c r="AC19" s="86">
        <v>0.56999999999999995</v>
      </c>
      <c r="AD19" s="86">
        <v>0.47</v>
      </c>
      <c r="AE19" s="86">
        <v>14</v>
      </c>
      <c r="AF19" s="86">
        <v>0.42</v>
      </c>
      <c r="AG19" s="218" t="s">
        <v>24</v>
      </c>
      <c r="AH19" s="79"/>
      <c r="AI19" s="20">
        <f t="shared" si="0"/>
        <v>1160</v>
      </c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>
        <v>2</v>
      </c>
      <c r="CE19" s="57">
        <v>2</v>
      </c>
      <c r="CF19" s="58"/>
      <c r="CG19" s="86"/>
      <c r="CH19" s="86"/>
      <c r="CI19" s="86"/>
      <c r="CJ19" s="86"/>
      <c r="CK19" s="86"/>
      <c r="CL19" s="86"/>
      <c r="CM19" s="20"/>
      <c r="CN19" s="86">
        <v>120</v>
      </c>
      <c r="CO19" s="86">
        <v>40</v>
      </c>
      <c r="CP19" s="86">
        <v>8</v>
      </c>
      <c r="CQ19" s="86">
        <v>7</v>
      </c>
      <c r="CR19" s="86">
        <v>2</v>
      </c>
      <c r="CS19" s="86">
        <v>2</v>
      </c>
      <c r="CT19" s="86" t="s">
        <v>21</v>
      </c>
      <c r="CU19" s="24" t="s">
        <v>20</v>
      </c>
      <c r="CV19" s="86">
        <v>0.8</v>
      </c>
      <c r="CW19" s="86" t="s">
        <v>4</v>
      </c>
      <c r="CX19" s="86" t="s">
        <v>22</v>
      </c>
      <c r="CY19" s="86">
        <v>2</v>
      </c>
      <c r="CZ19" s="86">
        <f t="shared" si="5"/>
        <v>2</v>
      </c>
      <c r="DA19" s="86"/>
      <c r="DB19" s="86">
        <v>2</v>
      </c>
      <c r="DC19" s="86">
        <v>70</v>
      </c>
      <c r="DD19" s="86">
        <v>55</v>
      </c>
      <c r="DE19" s="28">
        <f t="shared" si="1"/>
        <v>471.49999999999994</v>
      </c>
      <c r="DF19" s="28">
        <f t="shared" si="6"/>
        <v>660.1</v>
      </c>
      <c r="DG19" s="28">
        <f t="shared" si="7"/>
        <v>451</v>
      </c>
      <c r="DI19" s="37"/>
      <c r="DJ19" s="37"/>
      <c r="DK19" s="37"/>
      <c r="DL19" s="37"/>
      <c r="DM19" s="37"/>
      <c r="DN19" s="37"/>
      <c r="DO19" s="37"/>
      <c r="DP19" s="37">
        <v>23</v>
      </c>
      <c r="DQ19" s="37"/>
      <c r="DR19" s="37"/>
      <c r="DS19" s="37"/>
      <c r="DT19" s="37"/>
      <c r="DU19" s="37"/>
      <c r="DV19" s="37"/>
      <c r="DW19" s="37"/>
      <c r="DX19" s="37"/>
      <c r="DY19" s="37"/>
      <c r="DZ19" s="62" t="s">
        <v>107</v>
      </c>
      <c r="EA19" s="62"/>
    </row>
    <row r="20" spans="1:131" s="56" customFormat="1" x14ac:dyDescent="0.35">
      <c r="A20" s="267">
        <f t="shared" si="2"/>
        <v>11</v>
      </c>
      <c r="B20" s="274"/>
      <c r="C20" s="95"/>
      <c r="D20" s="95"/>
      <c r="E20" s="95"/>
      <c r="F20" s="95"/>
      <c r="G20" s="95"/>
      <c r="H20" s="86"/>
      <c r="I20" s="24" t="s">
        <v>20</v>
      </c>
      <c r="J20" s="86">
        <v>0.8</v>
      </c>
      <c r="K20" s="95"/>
      <c r="L20" s="215"/>
      <c r="M20" s="239"/>
      <c r="N20" s="95" t="s">
        <v>180</v>
      </c>
      <c r="O20" s="218">
        <v>1</v>
      </c>
      <c r="P20" s="217" t="s">
        <v>182</v>
      </c>
      <c r="Q20" s="86">
        <v>1</v>
      </c>
      <c r="R20" s="86">
        <v>125</v>
      </c>
      <c r="S20" s="86"/>
      <c r="T20" s="86"/>
      <c r="U20" s="86"/>
      <c r="V20" s="86"/>
      <c r="W20" s="86"/>
      <c r="X20" s="81"/>
      <c r="Y20" s="84"/>
      <c r="Z20" s="86"/>
      <c r="AA20" s="86"/>
      <c r="AB20" s="86"/>
      <c r="AC20" s="86"/>
      <c r="AD20" s="86"/>
      <c r="AE20" s="86"/>
      <c r="AF20" s="86"/>
      <c r="AG20" s="218"/>
      <c r="AH20" s="79"/>
      <c r="AI20" s="20">
        <f t="shared" si="0"/>
        <v>0</v>
      </c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>
        <v>3</v>
      </c>
      <c r="CE20" s="57">
        <v>3</v>
      </c>
      <c r="CF20" s="58"/>
      <c r="CG20" s="86"/>
      <c r="CH20" s="86"/>
      <c r="CI20" s="86"/>
      <c r="CJ20" s="86"/>
      <c r="CK20" s="86"/>
      <c r="CL20" s="86"/>
      <c r="CM20" s="20"/>
      <c r="CN20" s="86">
        <v>112</v>
      </c>
      <c r="CO20" s="86">
        <v>35</v>
      </c>
      <c r="CP20" s="86">
        <v>8</v>
      </c>
      <c r="CQ20" s="86">
        <v>7</v>
      </c>
      <c r="CR20" s="86">
        <v>2</v>
      </c>
      <c r="CS20" s="86">
        <v>2</v>
      </c>
      <c r="CT20" s="86" t="s">
        <v>21</v>
      </c>
      <c r="CU20" s="24" t="s">
        <v>20</v>
      </c>
      <c r="CV20" s="86">
        <v>0.8</v>
      </c>
      <c r="CW20" s="86" t="s">
        <v>4</v>
      </c>
      <c r="CX20" s="86" t="s">
        <v>22</v>
      </c>
      <c r="CY20" s="86">
        <v>3</v>
      </c>
      <c r="CZ20" s="86">
        <f t="shared" si="5"/>
        <v>3</v>
      </c>
      <c r="DA20" s="86"/>
      <c r="DB20" s="86">
        <v>3</v>
      </c>
      <c r="DC20" s="86">
        <v>70</v>
      </c>
      <c r="DD20" s="86">
        <v>55</v>
      </c>
      <c r="DE20" s="28">
        <f t="shared" si="1"/>
        <v>707.25</v>
      </c>
      <c r="DF20" s="28">
        <f t="shared" si="6"/>
        <v>990.14999999999986</v>
      </c>
      <c r="DG20" s="28">
        <f t="shared" si="7"/>
        <v>676.5</v>
      </c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>
        <v>67</v>
      </c>
      <c r="DW20" s="37"/>
      <c r="DX20" s="37"/>
      <c r="DY20" s="37"/>
      <c r="DZ20" s="62" t="s">
        <v>108</v>
      </c>
      <c r="EA20" s="62" t="s">
        <v>135</v>
      </c>
    </row>
    <row r="21" spans="1:131" s="56" customFormat="1" x14ac:dyDescent="0.35">
      <c r="A21" s="267">
        <f t="shared" si="2"/>
        <v>12</v>
      </c>
      <c r="B21" s="274"/>
      <c r="C21" s="95"/>
      <c r="D21" s="95"/>
      <c r="E21" s="95"/>
      <c r="F21" s="95"/>
      <c r="G21" s="95"/>
      <c r="H21" s="86"/>
      <c r="I21" s="24" t="s">
        <v>20</v>
      </c>
      <c r="J21" s="86">
        <v>0.8</v>
      </c>
      <c r="K21" s="95"/>
      <c r="L21" s="215"/>
      <c r="M21" s="239"/>
      <c r="N21" s="95" t="s">
        <v>179</v>
      </c>
      <c r="O21" s="218">
        <v>1</v>
      </c>
      <c r="P21" s="217" t="s">
        <v>41</v>
      </c>
      <c r="Q21" s="86">
        <v>1</v>
      </c>
      <c r="R21" s="86">
        <v>150</v>
      </c>
      <c r="S21" s="86"/>
      <c r="T21" s="86"/>
      <c r="U21" s="86"/>
      <c r="V21" s="86"/>
      <c r="W21" s="86"/>
      <c r="X21" s="81"/>
      <c r="Y21" s="84"/>
      <c r="Z21" s="86"/>
      <c r="AA21" s="86"/>
      <c r="AB21" s="86"/>
      <c r="AC21" s="86"/>
      <c r="AD21" s="86"/>
      <c r="AE21" s="86"/>
      <c r="AF21" s="86"/>
      <c r="AG21" s="218"/>
      <c r="AH21" s="79"/>
      <c r="AI21" s="20">
        <f t="shared" si="0"/>
        <v>0</v>
      </c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>
        <v>6</v>
      </c>
      <c r="CE21" s="57">
        <v>6</v>
      </c>
      <c r="CF21" s="58"/>
      <c r="CG21" s="86"/>
      <c r="CH21" s="86"/>
      <c r="CI21" s="86"/>
      <c r="CJ21" s="86"/>
      <c r="CK21" s="86"/>
      <c r="CL21" s="86"/>
      <c r="CM21" s="20"/>
      <c r="CN21" s="86">
        <v>214</v>
      </c>
      <c r="CO21" s="86">
        <v>36</v>
      </c>
      <c r="CP21" s="86">
        <v>8</v>
      </c>
      <c r="CQ21" s="86">
        <v>7</v>
      </c>
      <c r="CR21" s="86">
        <v>1.5</v>
      </c>
      <c r="CS21" s="86">
        <v>1.5</v>
      </c>
      <c r="CT21" s="86" t="s">
        <v>21</v>
      </c>
      <c r="CU21" s="24" t="s">
        <v>20</v>
      </c>
      <c r="CV21" s="86">
        <v>0.8</v>
      </c>
      <c r="CW21" s="86" t="s">
        <v>4</v>
      </c>
      <c r="CX21" s="86" t="s">
        <v>22</v>
      </c>
      <c r="CY21" s="86">
        <v>6</v>
      </c>
      <c r="CZ21" s="86">
        <f t="shared" si="5"/>
        <v>6</v>
      </c>
      <c r="DA21" s="86"/>
      <c r="DB21" s="86">
        <v>6</v>
      </c>
      <c r="DC21" s="86">
        <v>70</v>
      </c>
      <c r="DD21" s="86">
        <v>56</v>
      </c>
      <c r="DE21" s="28">
        <f t="shared" si="1"/>
        <v>1414.5</v>
      </c>
      <c r="DF21" s="28">
        <f t="shared" si="6"/>
        <v>1980.2999999999997</v>
      </c>
      <c r="DG21" s="28">
        <f t="shared" si="7"/>
        <v>1377.6</v>
      </c>
      <c r="DI21" s="37"/>
      <c r="DJ21" s="37"/>
      <c r="DK21" s="37"/>
      <c r="DL21" s="37"/>
      <c r="DM21" s="37"/>
      <c r="DN21" s="37"/>
      <c r="DO21" s="37"/>
      <c r="DP21" s="37"/>
      <c r="DQ21" s="37">
        <v>32</v>
      </c>
      <c r="DR21" s="37"/>
      <c r="DS21" s="37"/>
      <c r="DT21" s="37"/>
      <c r="DU21" s="37"/>
      <c r="DV21" s="37"/>
      <c r="DW21" s="37"/>
      <c r="DX21" s="37"/>
      <c r="DY21" s="37"/>
      <c r="DZ21" s="62"/>
      <c r="EA21" s="62" t="s">
        <v>136</v>
      </c>
    </row>
    <row r="22" spans="1:131" s="56" customFormat="1" x14ac:dyDescent="0.35">
      <c r="A22" s="267">
        <v>11</v>
      </c>
      <c r="B22" s="274" t="s">
        <v>156</v>
      </c>
      <c r="C22" s="95">
        <v>200</v>
      </c>
      <c r="D22" s="95">
        <v>35</v>
      </c>
      <c r="E22" s="95">
        <v>8</v>
      </c>
      <c r="F22" s="95">
        <v>5</v>
      </c>
      <c r="G22" s="95">
        <v>0.5</v>
      </c>
      <c r="H22" s="86"/>
      <c r="I22" s="24" t="s">
        <v>20</v>
      </c>
      <c r="J22" s="86">
        <v>0.8</v>
      </c>
      <c r="K22" s="95" t="s">
        <v>4</v>
      </c>
      <c r="L22" s="215" t="s">
        <v>24</v>
      </c>
      <c r="M22" s="239">
        <v>6</v>
      </c>
      <c r="N22" s="95" t="s">
        <v>180</v>
      </c>
      <c r="O22" s="218">
        <v>4</v>
      </c>
      <c r="P22" s="217" t="s">
        <v>182</v>
      </c>
      <c r="Q22" s="86">
        <v>5</v>
      </c>
      <c r="R22" s="86">
        <v>125</v>
      </c>
      <c r="S22" s="86">
        <v>0.42</v>
      </c>
      <c r="T22" s="86">
        <v>0.21</v>
      </c>
      <c r="U22" s="86">
        <v>0.17</v>
      </c>
      <c r="V22" s="86">
        <v>8</v>
      </c>
      <c r="W22" s="86">
        <v>0.36</v>
      </c>
      <c r="X22" s="81" t="s">
        <v>76</v>
      </c>
      <c r="Y22" s="84" t="s">
        <v>40</v>
      </c>
      <c r="Z22" s="86">
        <v>6</v>
      </c>
      <c r="AA22" s="86">
        <v>20</v>
      </c>
      <c r="AB22" s="86">
        <v>0.33</v>
      </c>
      <c r="AC22" s="86">
        <v>0.56000000000000005</v>
      </c>
      <c r="AD22" s="86">
        <v>0.51</v>
      </c>
      <c r="AE22" s="86">
        <v>14</v>
      </c>
      <c r="AF22" s="86">
        <v>0.35</v>
      </c>
      <c r="AG22" s="218" t="s">
        <v>24</v>
      </c>
      <c r="AH22" s="79"/>
      <c r="AI22" s="20">
        <f t="shared" si="0"/>
        <v>1000</v>
      </c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>
        <v>4</v>
      </c>
      <c r="CE22" s="57">
        <v>4</v>
      </c>
      <c r="CF22" s="58"/>
      <c r="CG22" s="86"/>
      <c r="CH22" s="86"/>
      <c r="CI22" s="86"/>
      <c r="CJ22" s="86"/>
      <c r="CK22" s="86"/>
      <c r="CL22" s="86"/>
      <c r="CM22" s="20"/>
      <c r="CN22" s="86">
        <v>161</v>
      </c>
      <c r="CO22" s="86">
        <v>40</v>
      </c>
      <c r="CP22" s="86">
        <v>8</v>
      </c>
      <c r="CQ22" s="86">
        <v>7</v>
      </c>
      <c r="CR22" s="86">
        <v>2.5</v>
      </c>
      <c r="CS22" s="86">
        <v>2.5</v>
      </c>
      <c r="CT22" s="86" t="s">
        <v>21</v>
      </c>
      <c r="CU22" s="24" t="s">
        <v>20</v>
      </c>
      <c r="CV22" s="86">
        <v>0.8</v>
      </c>
      <c r="CW22" s="86" t="s">
        <v>4</v>
      </c>
      <c r="CX22" s="86" t="s">
        <v>22</v>
      </c>
      <c r="CY22" s="86">
        <v>4</v>
      </c>
      <c r="CZ22" s="86">
        <f t="shared" si="5"/>
        <v>4</v>
      </c>
      <c r="DA22" s="86"/>
      <c r="DB22" s="86">
        <v>4</v>
      </c>
      <c r="DC22" s="86">
        <v>70</v>
      </c>
      <c r="DD22" s="86">
        <v>56</v>
      </c>
      <c r="DE22" s="28">
        <f t="shared" si="1"/>
        <v>942.99999999999989</v>
      </c>
      <c r="DF22" s="28">
        <f t="shared" si="6"/>
        <v>1320.2</v>
      </c>
      <c r="DG22" s="28">
        <f t="shared" si="7"/>
        <v>918.4</v>
      </c>
      <c r="DI22" s="37"/>
      <c r="DJ22" s="37"/>
      <c r="DK22" s="37"/>
      <c r="DL22" s="37"/>
      <c r="DM22" s="37"/>
      <c r="DN22" s="37"/>
      <c r="DO22" s="37"/>
      <c r="DP22" s="37">
        <v>30</v>
      </c>
      <c r="DQ22" s="37"/>
      <c r="DR22" s="37"/>
      <c r="DS22" s="37"/>
      <c r="DT22" s="37"/>
      <c r="DU22" s="37"/>
      <c r="DV22" s="37"/>
      <c r="DW22" s="37"/>
      <c r="DX22" s="37"/>
      <c r="DY22" s="37"/>
      <c r="DZ22" s="62" t="s">
        <v>109</v>
      </c>
      <c r="EA22" s="62"/>
    </row>
    <row r="23" spans="1:131" s="56" customFormat="1" x14ac:dyDescent="0.35">
      <c r="A23" s="267">
        <f t="shared" si="2"/>
        <v>12</v>
      </c>
      <c r="B23" s="274"/>
      <c r="C23" s="95"/>
      <c r="D23" s="95"/>
      <c r="E23" s="95"/>
      <c r="F23" s="95"/>
      <c r="G23" s="95"/>
      <c r="H23" s="86" t="s">
        <v>21</v>
      </c>
      <c r="I23" s="24" t="s">
        <v>20</v>
      </c>
      <c r="J23" s="86">
        <v>0.8</v>
      </c>
      <c r="K23" s="95"/>
      <c r="L23" s="215"/>
      <c r="M23" s="239"/>
      <c r="N23" s="95" t="s">
        <v>179</v>
      </c>
      <c r="O23" s="218">
        <v>1</v>
      </c>
      <c r="P23" s="217" t="s">
        <v>41</v>
      </c>
      <c r="Q23" s="86">
        <v>1</v>
      </c>
      <c r="R23" s="86">
        <v>150</v>
      </c>
      <c r="S23" s="86"/>
      <c r="T23" s="86"/>
      <c r="U23" s="86"/>
      <c r="V23" s="86"/>
      <c r="W23" s="86"/>
      <c r="X23" s="81"/>
      <c r="Y23" s="84"/>
      <c r="Z23" s="86"/>
      <c r="AA23" s="86"/>
      <c r="AB23" s="86"/>
      <c r="AC23" s="86"/>
      <c r="AD23" s="86"/>
      <c r="AE23" s="86"/>
      <c r="AF23" s="86"/>
      <c r="AG23" s="218"/>
      <c r="AH23" s="79"/>
      <c r="AI23" s="20">
        <f t="shared" si="0"/>
        <v>0</v>
      </c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>
        <v>4</v>
      </c>
      <c r="CE23" s="57">
        <v>4</v>
      </c>
      <c r="CF23" s="58"/>
      <c r="CG23" s="86"/>
      <c r="CH23" s="86"/>
      <c r="CI23" s="86"/>
      <c r="CJ23" s="86"/>
      <c r="CK23" s="86"/>
      <c r="CL23" s="86"/>
      <c r="CM23" s="20"/>
      <c r="CN23" s="86">
        <v>143</v>
      </c>
      <c r="CO23" s="86">
        <v>35</v>
      </c>
      <c r="CP23" s="86">
        <v>8</v>
      </c>
      <c r="CQ23" s="86">
        <v>7</v>
      </c>
      <c r="CR23" s="86">
        <v>2.5</v>
      </c>
      <c r="CS23" s="86">
        <v>2.5</v>
      </c>
      <c r="CT23" s="86" t="s">
        <v>21</v>
      </c>
      <c r="CU23" s="24" t="s">
        <v>20</v>
      </c>
      <c r="CV23" s="86">
        <v>0.8</v>
      </c>
      <c r="CW23" s="86" t="s">
        <v>4</v>
      </c>
      <c r="CX23" s="86" t="s">
        <v>22</v>
      </c>
      <c r="CY23" s="86">
        <v>4</v>
      </c>
      <c r="CZ23" s="86">
        <f t="shared" si="5"/>
        <v>4</v>
      </c>
      <c r="DA23" s="86"/>
      <c r="DB23" s="86">
        <v>4</v>
      </c>
      <c r="DC23" s="86">
        <v>70</v>
      </c>
      <c r="DD23" s="86">
        <v>56</v>
      </c>
      <c r="DE23" s="28">
        <f t="shared" si="1"/>
        <v>942.99999999999989</v>
      </c>
      <c r="DF23" s="28">
        <f t="shared" si="6"/>
        <v>1320.2</v>
      </c>
      <c r="DG23" s="28">
        <f t="shared" si="7"/>
        <v>918.4</v>
      </c>
      <c r="DI23" s="37"/>
      <c r="DJ23" s="37"/>
      <c r="DK23" s="37"/>
      <c r="DL23" s="37"/>
      <c r="DM23" s="37"/>
      <c r="DN23" s="37"/>
      <c r="DO23" s="37">
        <v>38</v>
      </c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62" t="s">
        <v>110</v>
      </c>
      <c r="EA23" s="62"/>
    </row>
    <row r="24" spans="1:131" s="56" customFormat="1" ht="15" customHeight="1" x14ac:dyDescent="0.35">
      <c r="A24" s="268">
        <v>12</v>
      </c>
      <c r="B24" s="274" t="s">
        <v>157</v>
      </c>
      <c r="C24" s="95">
        <v>100</v>
      </c>
      <c r="D24" s="95">
        <v>35</v>
      </c>
      <c r="E24" s="95">
        <v>8</v>
      </c>
      <c r="F24" s="97">
        <v>14</v>
      </c>
      <c r="G24" s="95" t="s">
        <v>176</v>
      </c>
      <c r="H24" s="86" t="s">
        <v>21</v>
      </c>
      <c r="I24" s="24" t="s">
        <v>20</v>
      </c>
      <c r="J24" s="86">
        <v>0.8</v>
      </c>
      <c r="K24" s="95" t="s">
        <v>177</v>
      </c>
      <c r="L24" s="215" t="s">
        <v>22</v>
      </c>
      <c r="M24" s="239">
        <v>2</v>
      </c>
      <c r="N24" s="95" t="s">
        <v>181</v>
      </c>
      <c r="O24" s="218">
        <v>3</v>
      </c>
      <c r="P24" s="217" t="s">
        <v>184</v>
      </c>
      <c r="Q24" s="86">
        <v>3</v>
      </c>
      <c r="R24" s="86">
        <v>72</v>
      </c>
      <c r="S24" s="86"/>
      <c r="T24" s="86"/>
      <c r="U24" s="86"/>
      <c r="V24" s="86"/>
      <c r="W24" s="86"/>
      <c r="X24" s="81"/>
      <c r="Y24" s="84"/>
      <c r="Z24" s="3"/>
      <c r="AA24" s="86"/>
      <c r="AB24" s="3"/>
      <c r="AC24" s="3"/>
      <c r="AD24" s="3"/>
      <c r="AE24" s="3"/>
      <c r="AF24" s="3"/>
      <c r="AG24" s="218"/>
      <c r="AH24" s="79"/>
      <c r="AI24" s="83">
        <f t="shared" si="0"/>
        <v>1400</v>
      </c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>
        <v>3</v>
      </c>
      <c r="CE24" s="57">
        <v>3</v>
      </c>
      <c r="CF24" s="58"/>
      <c r="CG24" s="86"/>
      <c r="CH24" s="86"/>
      <c r="CI24" s="86"/>
      <c r="CJ24" s="86"/>
      <c r="CK24" s="86"/>
      <c r="CL24" s="86"/>
      <c r="CM24" s="20"/>
      <c r="CN24" s="86">
        <v>139</v>
      </c>
      <c r="CO24" s="86">
        <v>35</v>
      </c>
      <c r="CP24" s="86">
        <v>8</v>
      </c>
      <c r="CQ24" s="86">
        <v>7</v>
      </c>
      <c r="CR24" s="86">
        <v>2</v>
      </c>
      <c r="CS24" s="86">
        <v>2</v>
      </c>
      <c r="CT24" s="86" t="s">
        <v>21</v>
      </c>
      <c r="CU24" s="24" t="s">
        <v>20</v>
      </c>
      <c r="CV24" s="86">
        <v>0.8</v>
      </c>
      <c r="CW24" s="86" t="s">
        <v>4</v>
      </c>
      <c r="CX24" s="86" t="s">
        <v>22</v>
      </c>
      <c r="CY24" s="86">
        <v>3</v>
      </c>
      <c r="CZ24" s="86">
        <f t="shared" si="5"/>
        <v>3</v>
      </c>
      <c r="DA24" s="86"/>
      <c r="DB24" s="86">
        <v>3</v>
      </c>
      <c r="DC24" s="86">
        <v>70</v>
      </c>
      <c r="DD24" s="86">
        <v>56</v>
      </c>
      <c r="DE24" s="28">
        <f t="shared" si="1"/>
        <v>707.25</v>
      </c>
      <c r="DF24" s="28">
        <f t="shared" si="6"/>
        <v>990.14999999999986</v>
      </c>
      <c r="DG24" s="28">
        <f t="shared" si="7"/>
        <v>688.8</v>
      </c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>
        <v>27</v>
      </c>
      <c r="DT24" s="9"/>
      <c r="DU24" s="9"/>
      <c r="DV24" s="9"/>
      <c r="DW24" s="9"/>
      <c r="DX24" s="9"/>
      <c r="DY24" s="9"/>
      <c r="DZ24" s="61" t="s">
        <v>111</v>
      </c>
      <c r="EA24" s="61"/>
    </row>
    <row r="25" spans="1:131" s="56" customFormat="1" ht="15" customHeight="1" x14ac:dyDescent="0.35">
      <c r="A25" s="269"/>
      <c r="B25" s="274"/>
      <c r="C25" s="95">
        <v>300</v>
      </c>
      <c r="D25" s="60">
        <v>35</v>
      </c>
      <c r="E25" s="95">
        <v>8</v>
      </c>
      <c r="F25" s="95">
        <v>7</v>
      </c>
      <c r="G25" s="95">
        <v>0.5</v>
      </c>
      <c r="H25" s="86" t="s">
        <v>21</v>
      </c>
      <c r="I25" s="24" t="s">
        <v>20</v>
      </c>
      <c r="J25" s="86">
        <v>0.8</v>
      </c>
      <c r="K25" s="95" t="s">
        <v>4</v>
      </c>
      <c r="L25" s="215" t="s">
        <v>22</v>
      </c>
      <c r="M25" s="239">
        <v>6</v>
      </c>
      <c r="N25" s="95" t="s">
        <v>180</v>
      </c>
      <c r="O25" s="218">
        <v>4</v>
      </c>
      <c r="P25" s="217" t="s">
        <v>41</v>
      </c>
      <c r="Q25" s="86">
        <v>12</v>
      </c>
      <c r="R25" s="86">
        <v>125</v>
      </c>
      <c r="S25" s="86">
        <v>0.33</v>
      </c>
      <c r="T25" s="86">
        <v>0.31</v>
      </c>
      <c r="U25" s="86">
        <v>0.37</v>
      </c>
      <c r="V25" s="86">
        <v>6</v>
      </c>
      <c r="W25" s="86">
        <v>0.54</v>
      </c>
      <c r="X25" s="81" t="s">
        <v>76</v>
      </c>
      <c r="Y25" s="84" t="s">
        <v>40</v>
      </c>
      <c r="Z25" s="86">
        <v>15</v>
      </c>
      <c r="AA25" s="86">
        <v>38.1</v>
      </c>
      <c r="AB25" s="86">
        <v>0.51</v>
      </c>
      <c r="AC25" s="86">
        <v>0.42</v>
      </c>
      <c r="AD25" s="86">
        <v>0.52</v>
      </c>
      <c r="AE25" s="86">
        <v>12</v>
      </c>
      <c r="AF25" s="86">
        <v>0.35</v>
      </c>
      <c r="AG25" s="218" t="s">
        <v>22</v>
      </c>
      <c r="AH25" s="79"/>
      <c r="AI25" s="20">
        <f t="shared" si="0"/>
        <v>2100</v>
      </c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>
        <v>3</v>
      </c>
      <c r="CE25" s="57">
        <v>3</v>
      </c>
      <c r="CF25" s="58"/>
      <c r="CG25" s="86"/>
      <c r="CH25" s="86"/>
      <c r="CI25" s="86"/>
      <c r="CJ25" s="86"/>
      <c r="CK25" s="86"/>
      <c r="CL25" s="86"/>
      <c r="CM25" s="20"/>
      <c r="CN25" s="86">
        <v>114</v>
      </c>
      <c r="CO25" s="86">
        <v>35</v>
      </c>
      <c r="CP25" s="86">
        <v>8</v>
      </c>
      <c r="CQ25" s="86">
        <v>7</v>
      </c>
      <c r="CR25" s="86">
        <v>1.5</v>
      </c>
      <c r="CS25" s="86">
        <v>1.5</v>
      </c>
      <c r="CT25" s="86" t="s">
        <v>21</v>
      </c>
      <c r="CU25" s="24" t="s">
        <v>20</v>
      </c>
      <c r="CV25" s="86">
        <v>0.8</v>
      </c>
      <c r="CW25" s="86" t="s">
        <v>4</v>
      </c>
      <c r="CX25" s="86" t="s">
        <v>22</v>
      </c>
      <c r="CY25" s="86">
        <v>3</v>
      </c>
      <c r="CZ25" s="86">
        <f t="shared" si="5"/>
        <v>3</v>
      </c>
      <c r="DA25" s="86"/>
      <c r="DB25" s="86">
        <v>3</v>
      </c>
      <c r="DC25" s="86">
        <v>70</v>
      </c>
      <c r="DD25" s="86">
        <v>56</v>
      </c>
      <c r="DE25" s="28">
        <f t="shared" si="1"/>
        <v>707.25</v>
      </c>
      <c r="DF25" s="28">
        <f t="shared" si="6"/>
        <v>990.14999999999986</v>
      </c>
      <c r="DG25" s="28">
        <f t="shared" si="7"/>
        <v>688.8</v>
      </c>
      <c r="DI25" s="37"/>
      <c r="DJ25" s="37"/>
      <c r="DK25" s="37"/>
      <c r="DL25" s="37"/>
      <c r="DM25" s="37"/>
      <c r="DN25" s="37"/>
      <c r="DO25" s="37"/>
      <c r="DP25" s="37"/>
      <c r="DQ25" s="37">
        <v>31</v>
      </c>
      <c r="DR25" s="37"/>
      <c r="DS25" s="37"/>
      <c r="DT25" s="37"/>
      <c r="DU25" s="37"/>
      <c r="DV25" s="37"/>
      <c r="DW25" s="37"/>
      <c r="DX25" s="37"/>
      <c r="DY25" s="37"/>
      <c r="DZ25" s="62" t="s">
        <v>112</v>
      </c>
      <c r="EA25" s="62"/>
    </row>
    <row r="26" spans="1:131" s="56" customFormat="1" ht="15.5" x14ac:dyDescent="0.35">
      <c r="A26" s="233">
        <v>13</v>
      </c>
      <c r="B26" s="178" t="s">
        <v>158</v>
      </c>
      <c r="C26" s="95">
        <v>350</v>
      </c>
      <c r="D26" s="95">
        <v>35</v>
      </c>
      <c r="E26" s="95">
        <v>8</v>
      </c>
      <c r="F26" s="95">
        <v>5</v>
      </c>
      <c r="G26" s="95">
        <v>0.5</v>
      </c>
      <c r="H26" s="86" t="s">
        <v>21</v>
      </c>
      <c r="I26" s="24" t="s">
        <v>20</v>
      </c>
      <c r="J26" s="86">
        <v>0.8</v>
      </c>
      <c r="K26" s="95" t="s">
        <v>4</v>
      </c>
      <c r="L26" s="215" t="s">
        <v>24</v>
      </c>
      <c r="M26" s="239">
        <v>8</v>
      </c>
      <c r="N26" s="95" t="s">
        <v>179</v>
      </c>
      <c r="O26" s="218">
        <v>5</v>
      </c>
      <c r="P26" s="217" t="s">
        <v>41</v>
      </c>
      <c r="Q26" s="86">
        <v>10</v>
      </c>
      <c r="R26" s="86">
        <v>150</v>
      </c>
      <c r="S26" s="86">
        <v>1.21</v>
      </c>
      <c r="T26" s="86">
        <v>0.45</v>
      </c>
      <c r="U26" s="86">
        <v>0.42</v>
      </c>
      <c r="V26" s="86">
        <v>10</v>
      </c>
      <c r="W26" s="86">
        <v>0.5</v>
      </c>
      <c r="X26" s="81" t="s">
        <v>24</v>
      </c>
      <c r="Y26" s="84" t="s">
        <v>40</v>
      </c>
      <c r="Z26" s="86">
        <v>10</v>
      </c>
      <c r="AA26" s="86">
        <v>20</v>
      </c>
      <c r="AB26" s="86">
        <v>0.33</v>
      </c>
      <c r="AC26" s="86">
        <v>0.56000000000000005</v>
      </c>
      <c r="AD26" s="86">
        <v>0.51</v>
      </c>
      <c r="AE26" s="86">
        <v>14</v>
      </c>
      <c r="AF26" s="86">
        <v>0.35</v>
      </c>
      <c r="AG26" s="218" t="s">
        <v>24</v>
      </c>
      <c r="AH26" s="79"/>
      <c r="AI26" s="20">
        <f t="shared" si="0"/>
        <v>1750</v>
      </c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>
        <v>2</v>
      </c>
      <c r="CE26" s="57">
        <v>2</v>
      </c>
      <c r="CF26" s="58"/>
      <c r="CG26" s="86"/>
      <c r="CH26" s="86"/>
      <c r="CI26" s="86"/>
      <c r="CJ26" s="86"/>
      <c r="CK26" s="86"/>
      <c r="CL26" s="86"/>
      <c r="CM26" s="20"/>
      <c r="CN26" s="86">
        <v>160</v>
      </c>
      <c r="CO26" s="86">
        <v>40</v>
      </c>
      <c r="CP26" s="86">
        <v>8</v>
      </c>
      <c r="CQ26" s="86">
        <v>7</v>
      </c>
      <c r="CR26" s="86">
        <v>2</v>
      </c>
      <c r="CS26" s="86">
        <v>2</v>
      </c>
      <c r="CT26" s="86" t="s">
        <v>21</v>
      </c>
      <c r="CU26" s="24" t="s">
        <v>20</v>
      </c>
      <c r="CV26" s="86">
        <v>0.8</v>
      </c>
      <c r="CW26" s="86" t="s">
        <v>4</v>
      </c>
      <c r="CX26" s="86" t="s">
        <v>22</v>
      </c>
      <c r="CY26" s="86">
        <v>2</v>
      </c>
      <c r="CZ26" s="86">
        <f t="shared" si="5"/>
        <v>2</v>
      </c>
      <c r="DA26" s="86"/>
      <c r="DB26" s="86">
        <v>2</v>
      </c>
      <c r="DC26" s="86">
        <v>70</v>
      </c>
      <c r="DD26" s="86">
        <v>55</v>
      </c>
      <c r="DE26" s="28">
        <f t="shared" si="1"/>
        <v>471.49999999999994</v>
      </c>
      <c r="DF26" s="28">
        <f t="shared" si="6"/>
        <v>660.1</v>
      </c>
      <c r="DG26" s="28">
        <f t="shared" si="7"/>
        <v>451</v>
      </c>
      <c r="DI26" s="37"/>
      <c r="DJ26" s="37"/>
      <c r="DK26" s="37"/>
      <c r="DL26" s="37"/>
      <c r="DM26" s="37"/>
      <c r="DN26" s="37"/>
      <c r="DO26" s="37">
        <v>16</v>
      </c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62" t="s">
        <v>113</v>
      </c>
      <c r="EA26" s="62"/>
    </row>
    <row r="27" spans="1:131" s="56" customFormat="1" x14ac:dyDescent="0.35">
      <c r="A27" s="267">
        <v>14</v>
      </c>
      <c r="B27" s="274" t="s">
        <v>159</v>
      </c>
      <c r="C27" s="95">
        <v>190</v>
      </c>
      <c r="D27" s="95">
        <v>35</v>
      </c>
      <c r="E27" s="95">
        <v>8</v>
      </c>
      <c r="F27" s="95">
        <v>5</v>
      </c>
      <c r="G27" s="95">
        <v>0.5</v>
      </c>
      <c r="H27" s="86"/>
      <c r="I27" s="24" t="s">
        <v>20</v>
      </c>
      <c r="J27" s="86">
        <v>0.8</v>
      </c>
      <c r="K27" s="95" t="s">
        <v>4</v>
      </c>
      <c r="L27" s="215" t="s">
        <v>24</v>
      </c>
      <c r="M27" s="239">
        <v>5</v>
      </c>
      <c r="N27" s="95" t="s">
        <v>179</v>
      </c>
      <c r="O27" s="218">
        <v>1</v>
      </c>
      <c r="P27" s="217" t="s">
        <v>41</v>
      </c>
      <c r="Q27" s="86">
        <v>4</v>
      </c>
      <c r="R27" s="86">
        <v>150</v>
      </c>
      <c r="S27" s="86">
        <v>1.21</v>
      </c>
      <c r="T27" s="86">
        <v>0.45</v>
      </c>
      <c r="U27" s="86">
        <v>0.42</v>
      </c>
      <c r="V27" s="86">
        <v>10</v>
      </c>
      <c r="W27" s="86">
        <v>0.5</v>
      </c>
      <c r="X27" s="81" t="s">
        <v>24</v>
      </c>
      <c r="Y27" s="84" t="s">
        <v>40</v>
      </c>
      <c r="Z27" s="86">
        <v>5</v>
      </c>
      <c r="AA27" s="86">
        <v>20</v>
      </c>
      <c r="AB27" s="86">
        <v>0.33</v>
      </c>
      <c r="AC27" s="86">
        <v>0.56000000000000005</v>
      </c>
      <c r="AD27" s="86">
        <v>0.51</v>
      </c>
      <c r="AE27" s="86">
        <v>14</v>
      </c>
      <c r="AF27" s="86">
        <v>0.35</v>
      </c>
      <c r="AG27" s="218" t="s">
        <v>24</v>
      </c>
      <c r="AH27" s="79"/>
      <c r="AI27" s="20">
        <f t="shared" si="0"/>
        <v>950</v>
      </c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>
        <v>21</v>
      </c>
      <c r="CE27" s="57">
        <v>10</v>
      </c>
      <c r="CF27" s="58"/>
      <c r="CG27" s="86">
        <v>4</v>
      </c>
      <c r="CH27" s="86"/>
      <c r="CI27" s="86"/>
      <c r="CJ27" s="86">
        <v>3</v>
      </c>
      <c r="CK27" s="86"/>
      <c r="CL27" s="86"/>
      <c r="CM27" s="20"/>
      <c r="CN27" s="86">
        <v>400</v>
      </c>
      <c r="CO27" s="86">
        <v>35</v>
      </c>
      <c r="CP27" s="86">
        <v>8</v>
      </c>
      <c r="CQ27" s="86">
        <v>4</v>
      </c>
      <c r="CR27" s="86">
        <v>1</v>
      </c>
      <c r="CS27" s="86">
        <v>1</v>
      </c>
      <c r="CT27" s="86" t="s">
        <v>21</v>
      </c>
      <c r="CU27" s="24" t="s">
        <v>20</v>
      </c>
      <c r="CV27" s="86">
        <v>0.8</v>
      </c>
      <c r="CW27" s="86" t="s">
        <v>4</v>
      </c>
      <c r="CX27" s="86" t="s">
        <v>22</v>
      </c>
      <c r="CY27" s="86">
        <v>21</v>
      </c>
      <c r="CZ27" s="86">
        <f t="shared" si="5"/>
        <v>17</v>
      </c>
      <c r="DA27" s="86"/>
      <c r="DB27" s="86">
        <v>21</v>
      </c>
      <c r="DC27" s="86">
        <v>70</v>
      </c>
      <c r="DD27" s="86">
        <v>30</v>
      </c>
      <c r="DE27" s="28">
        <f t="shared" si="1"/>
        <v>5233.6499999999996</v>
      </c>
      <c r="DF27" s="28">
        <f t="shared" si="6"/>
        <v>6931.0499999999993</v>
      </c>
      <c r="DG27" s="28">
        <f t="shared" si="7"/>
        <v>2583</v>
      </c>
      <c r="DI27" s="37"/>
      <c r="DJ27" s="37"/>
      <c r="DK27" s="37"/>
      <c r="DL27" s="37"/>
      <c r="DM27" s="37"/>
      <c r="DN27" s="37"/>
      <c r="DO27" s="37"/>
      <c r="DP27" s="37"/>
      <c r="DQ27" s="37"/>
      <c r="DR27" s="37">
        <v>6</v>
      </c>
      <c r="DS27" s="37"/>
      <c r="DT27" s="37"/>
      <c r="DU27" s="37"/>
      <c r="DV27" s="37"/>
      <c r="DW27" s="37"/>
      <c r="DX27" s="37"/>
      <c r="DY27" s="37"/>
      <c r="DZ27" s="62" t="s">
        <v>114</v>
      </c>
      <c r="EA27" s="62"/>
    </row>
    <row r="28" spans="1:131" s="56" customFormat="1" x14ac:dyDescent="0.35">
      <c r="A28" s="267">
        <f t="shared" si="2"/>
        <v>15</v>
      </c>
      <c r="B28" s="274"/>
      <c r="C28" s="95"/>
      <c r="D28" s="95"/>
      <c r="E28" s="95"/>
      <c r="F28" s="95"/>
      <c r="G28" s="95"/>
      <c r="H28" s="86" t="s">
        <v>21</v>
      </c>
      <c r="I28" s="24" t="s">
        <v>20</v>
      </c>
      <c r="J28" s="86">
        <v>0.8</v>
      </c>
      <c r="K28" s="95"/>
      <c r="L28" s="215"/>
      <c r="M28" s="239"/>
      <c r="N28" s="95" t="s">
        <v>181</v>
      </c>
      <c r="O28" s="218">
        <v>1</v>
      </c>
      <c r="P28" s="217" t="s">
        <v>184</v>
      </c>
      <c r="Q28" s="86">
        <v>1</v>
      </c>
      <c r="R28" s="86">
        <v>72</v>
      </c>
      <c r="S28" s="86"/>
      <c r="T28" s="86"/>
      <c r="U28" s="86"/>
      <c r="V28" s="86"/>
      <c r="W28" s="86"/>
      <c r="X28" s="81"/>
      <c r="Y28" s="84"/>
      <c r="Z28" s="86"/>
      <c r="AA28" s="86"/>
      <c r="AB28" s="86"/>
      <c r="AC28" s="86"/>
      <c r="AD28" s="86"/>
      <c r="AE28" s="86"/>
      <c r="AF28" s="86"/>
      <c r="AG28" s="218"/>
      <c r="AH28" s="79"/>
      <c r="AI28" s="20">
        <f t="shared" si="0"/>
        <v>0</v>
      </c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57"/>
      <c r="CF28" s="58"/>
      <c r="CG28" s="86"/>
      <c r="CH28" s="86"/>
      <c r="CI28" s="86"/>
      <c r="CJ28" s="86"/>
      <c r="CK28" s="86"/>
      <c r="CL28" s="86"/>
      <c r="CM28" s="20"/>
      <c r="CN28" s="86"/>
      <c r="CO28" s="86"/>
      <c r="CP28" s="86"/>
      <c r="CQ28" s="86"/>
      <c r="CR28" s="86"/>
      <c r="CS28" s="86"/>
      <c r="CT28" s="86"/>
      <c r="CU28" s="24"/>
      <c r="CV28" s="86"/>
      <c r="CW28" s="86"/>
      <c r="CX28" s="86"/>
      <c r="CY28" s="86"/>
      <c r="CZ28" s="86"/>
      <c r="DA28" s="86"/>
      <c r="DB28" s="86"/>
      <c r="DC28" s="86"/>
      <c r="DD28" s="86"/>
      <c r="DE28" s="28"/>
      <c r="DF28" s="28"/>
      <c r="DG28" s="28"/>
      <c r="DI28" s="37"/>
      <c r="DJ28" s="37"/>
      <c r="DK28" s="37"/>
      <c r="DL28" s="37"/>
      <c r="DM28" s="37"/>
      <c r="DN28" s="37"/>
      <c r="DO28" s="37">
        <v>7</v>
      </c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62" t="s">
        <v>91</v>
      </c>
      <c r="EA28" s="62"/>
    </row>
    <row r="29" spans="1:131" s="56" customFormat="1" ht="15.5" x14ac:dyDescent="0.35">
      <c r="A29" s="233">
        <v>15</v>
      </c>
      <c r="B29" s="178" t="s">
        <v>160</v>
      </c>
      <c r="C29" s="95">
        <v>110</v>
      </c>
      <c r="D29" s="95">
        <v>35</v>
      </c>
      <c r="E29" s="95">
        <v>8</v>
      </c>
      <c r="F29" s="95">
        <v>5</v>
      </c>
      <c r="G29" s="95">
        <v>0.5</v>
      </c>
      <c r="H29" s="86" t="s">
        <v>21</v>
      </c>
      <c r="I29" s="24" t="s">
        <v>20</v>
      </c>
      <c r="J29" s="86">
        <v>0.8</v>
      </c>
      <c r="K29" s="95" t="s">
        <v>4</v>
      </c>
      <c r="L29" s="215" t="s">
        <v>24</v>
      </c>
      <c r="M29" s="239">
        <v>1</v>
      </c>
      <c r="N29" s="95" t="s">
        <v>181</v>
      </c>
      <c r="O29" s="218">
        <v>1</v>
      </c>
      <c r="P29" s="217" t="s">
        <v>184</v>
      </c>
      <c r="Q29" s="86">
        <v>3</v>
      </c>
      <c r="R29" s="86">
        <v>72</v>
      </c>
      <c r="S29" s="86">
        <v>0.33</v>
      </c>
      <c r="T29" s="86">
        <v>0.44</v>
      </c>
      <c r="U29" s="86">
        <v>0.57999999999999996</v>
      </c>
      <c r="V29" s="86">
        <v>18</v>
      </c>
      <c r="W29" s="86">
        <v>0.5</v>
      </c>
      <c r="X29" s="81" t="s">
        <v>24</v>
      </c>
      <c r="Y29" s="84" t="s">
        <v>40</v>
      </c>
      <c r="Z29" s="86">
        <v>3</v>
      </c>
      <c r="AA29" s="86">
        <v>20</v>
      </c>
      <c r="AB29" s="86">
        <v>0.33</v>
      </c>
      <c r="AC29" s="86">
        <v>0.56000000000000005</v>
      </c>
      <c r="AD29" s="86">
        <v>0.51</v>
      </c>
      <c r="AE29" s="86">
        <v>14</v>
      </c>
      <c r="AF29" s="86">
        <v>0.35</v>
      </c>
      <c r="AG29" s="218" t="s">
        <v>24</v>
      </c>
      <c r="AH29" s="79"/>
      <c r="AI29" s="20">
        <f t="shared" si="0"/>
        <v>550</v>
      </c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57"/>
      <c r="CF29" s="58"/>
      <c r="CG29" s="86"/>
      <c r="CH29" s="86"/>
      <c r="CI29" s="86"/>
      <c r="CJ29" s="86"/>
      <c r="CK29" s="86"/>
      <c r="CL29" s="86"/>
      <c r="CM29" s="20"/>
      <c r="CN29" s="86"/>
      <c r="CO29" s="86"/>
      <c r="CP29" s="86"/>
      <c r="CQ29" s="86"/>
      <c r="CR29" s="86"/>
      <c r="CS29" s="86"/>
      <c r="CT29" s="86"/>
      <c r="CU29" s="24"/>
      <c r="CV29" s="86"/>
      <c r="CW29" s="86"/>
      <c r="CX29" s="86"/>
      <c r="CY29" s="86"/>
      <c r="CZ29" s="86"/>
      <c r="DA29" s="86"/>
      <c r="DB29" s="86"/>
      <c r="DC29" s="86"/>
      <c r="DD29" s="86"/>
      <c r="DE29" s="28"/>
      <c r="DF29" s="28"/>
      <c r="DG29" s="28"/>
      <c r="DI29" s="37"/>
      <c r="DJ29" s="37"/>
      <c r="DK29" s="37"/>
      <c r="DL29" s="37"/>
      <c r="DM29" s="37"/>
      <c r="DN29" s="37"/>
      <c r="DO29" s="37">
        <v>6</v>
      </c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62" t="s">
        <v>115</v>
      </c>
      <c r="EA29" s="62"/>
    </row>
    <row r="30" spans="1:131" s="56" customFormat="1" ht="15.5" x14ac:dyDescent="0.35">
      <c r="A30" s="233">
        <v>16</v>
      </c>
      <c r="B30" s="178" t="s">
        <v>161</v>
      </c>
      <c r="C30" s="95">
        <v>260</v>
      </c>
      <c r="D30" s="60">
        <v>35</v>
      </c>
      <c r="E30" s="95">
        <v>8</v>
      </c>
      <c r="F30" s="95">
        <v>7</v>
      </c>
      <c r="G30" s="95">
        <v>0.5</v>
      </c>
      <c r="H30" s="86"/>
      <c r="I30" s="24" t="s">
        <v>20</v>
      </c>
      <c r="J30" s="86">
        <v>0.8</v>
      </c>
      <c r="K30" s="95" t="s">
        <v>4</v>
      </c>
      <c r="L30" s="215" t="s">
        <v>24</v>
      </c>
      <c r="M30" s="239">
        <v>3</v>
      </c>
      <c r="N30" s="95" t="s">
        <v>179</v>
      </c>
      <c r="O30" s="218">
        <v>1</v>
      </c>
      <c r="P30" s="217" t="s">
        <v>41</v>
      </c>
      <c r="Q30" s="86">
        <v>8</v>
      </c>
      <c r="R30" s="86">
        <v>150</v>
      </c>
      <c r="S30" s="86">
        <v>1.01</v>
      </c>
      <c r="T30" s="86">
        <v>0.38</v>
      </c>
      <c r="U30" s="86">
        <v>0.42</v>
      </c>
      <c r="V30" s="86">
        <v>11</v>
      </c>
      <c r="W30" s="86">
        <v>0.52</v>
      </c>
      <c r="X30" s="81" t="s">
        <v>24</v>
      </c>
      <c r="Y30" s="84" t="s">
        <v>40</v>
      </c>
      <c r="Z30" s="86">
        <v>8</v>
      </c>
      <c r="AA30" s="86">
        <v>28</v>
      </c>
      <c r="AB30" s="86">
        <v>0.36</v>
      </c>
      <c r="AC30" s="86">
        <v>0.39</v>
      </c>
      <c r="AD30" s="86">
        <v>0.44</v>
      </c>
      <c r="AE30" s="86">
        <v>19</v>
      </c>
      <c r="AF30" s="86">
        <v>0.33</v>
      </c>
      <c r="AG30" s="218" t="s">
        <v>24</v>
      </c>
      <c r="AH30" s="79"/>
      <c r="AI30" s="20">
        <f t="shared" si="0"/>
        <v>1820</v>
      </c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>
        <v>11</v>
      </c>
      <c r="CE30" s="57"/>
      <c r="CF30" s="58"/>
      <c r="CG30" s="86"/>
      <c r="CH30" s="86"/>
      <c r="CI30" s="86">
        <v>10</v>
      </c>
      <c r="CJ30" s="86">
        <v>1</v>
      </c>
      <c r="CK30" s="86"/>
      <c r="CL30" s="86"/>
      <c r="CM30" s="20"/>
      <c r="CN30" s="86">
        <v>310</v>
      </c>
      <c r="CO30" s="86">
        <v>35</v>
      </c>
      <c r="CP30" s="86">
        <v>8</v>
      </c>
      <c r="CQ30" s="86">
        <v>6</v>
      </c>
      <c r="CR30" s="86">
        <v>1</v>
      </c>
      <c r="CS30" s="86">
        <v>1</v>
      </c>
      <c r="CT30" s="86" t="s">
        <v>21</v>
      </c>
      <c r="CU30" s="24" t="s">
        <v>20</v>
      </c>
      <c r="CV30" s="86">
        <v>0.8</v>
      </c>
      <c r="CW30" s="86" t="s">
        <v>4</v>
      </c>
      <c r="CX30" s="86" t="s">
        <v>22</v>
      </c>
      <c r="CY30" s="86">
        <v>11</v>
      </c>
      <c r="CZ30" s="86">
        <f>SUM(CE30:CM30)</f>
        <v>11</v>
      </c>
      <c r="DA30" s="86"/>
      <c r="DB30" s="86">
        <v>11</v>
      </c>
      <c r="DC30" s="86">
        <v>70</v>
      </c>
      <c r="DD30" s="86">
        <v>39</v>
      </c>
      <c r="DE30" s="28">
        <f t="shared" si="1"/>
        <v>5045.05</v>
      </c>
      <c r="DF30" s="28">
        <f t="shared" si="6"/>
        <v>3630.5499999999997</v>
      </c>
      <c r="DG30" s="28">
        <f t="shared" si="7"/>
        <v>1758.9</v>
      </c>
      <c r="DI30" s="37"/>
      <c r="DJ30" s="37"/>
      <c r="DK30" s="37"/>
      <c r="DL30" s="37"/>
      <c r="DM30" s="37"/>
      <c r="DN30" s="37"/>
      <c r="DO30" s="37">
        <v>11</v>
      </c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62" t="s">
        <v>116</v>
      </c>
      <c r="EA30" s="62"/>
    </row>
    <row r="31" spans="1:131" s="56" customFormat="1" x14ac:dyDescent="0.35">
      <c r="A31" s="267">
        <v>17</v>
      </c>
      <c r="B31" s="274" t="s">
        <v>162</v>
      </c>
      <c r="C31" s="95">
        <v>350</v>
      </c>
      <c r="D31" s="60">
        <v>35</v>
      </c>
      <c r="E31" s="95">
        <v>8</v>
      </c>
      <c r="F31" s="95">
        <v>6</v>
      </c>
      <c r="G31" s="95">
        <v>0.5</v>
      </c>
      <c r="H31" s="86" t="s">
        <v>21</v>
      </c>
      <c r="I31" s="24" t="s">
        <v>20</v>
      </c>
      <c r="J31" s="86">
        <v>0.8</v>
      </c>
      <c r="K31" s="95" t="s">
        <v>4</v>
      </c>
      <c r="L31" s="215" t="s">
        <v>24</v>
      </c>
      <c r="M31" s="239">
        <v>9</v>
      </c>
      <c r="N31" s="95" t="s">
        <v>181</v>
      </c>
      <c r="O31" s="218">
        <v>1</v>
      </c>
      <c r="P31" s="217" t="s">
        <v>184</v>
      </c>
      <c r="Q31" s="86">
        <v>4</v>
      </c>
      <c r="R31" s="86">
        <v>72</v>
      </c>
      <c r="S31" s="86"/>
      <c r="T31" s="86"/>
      <c r="U31" s="86"/>
      <c r="V31" s="86"/>
      <c r="W31" s="86"/>
      <c r="X31" s="81"/>
      <c r="Y31" s="84" t="s">
        <v>40</v>
      </c>
      <c r="Z31" s="86">
        <v>10</v>
      </c>
      <c r="AA31" s="86">
        <v>28</v>
      </c>
      <c r="AB31" s="86">
        <v>0.39</v>
      </c>
      <c r="AC31" s="86">
        <v>0.46</v>
      </c>
      <c r="AD31" s="86">
        <v>0.4</v>
      </c>
      <c r="AE31" s="86">
        <v>17</v>
      </c>
      <c r="AF31" s="86">
        <v>0.42</v>
      </c>
      <c r="AG31" s="218" t="s">
        <v>24</v>
      </c>
      <c r="AH31" s="79"/>
      <c r="AI31" s="20">
        <f t="shared" si="0"/>
        <v>2100</v>
      </c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57"/>
      <c r="CF31" s="58"/>
      <c r="CG31" s="86"/>
      <c r="CH31" s="86"/>
      <c r="CI31" s="86"/>
      <c r="CJ31" s="86"/>
      <c r="CK31" s="86"/>
      <c r="CL31" s="86"/>
      <c r="CM31" s="20"/>
      <c r="CN31" s="86"/>
      <c r="CO31" s="86"/>
      <c r="CP31" s="86"/>
      <c r="CQ31" s="86"/>
      <c r="CR31" s="86"/>
      <c r="CS31" s="86"/>
      <c r="CT31" s="86"/>
      <c r="CU31" s="24"/>
      <c r="CV31" s="86"/>
      <c r="CW31" s="86"/>
      <c r="CX31" s="86"/>
      <c r="CY31" s="86"/>
      <c r="CZ31" s="86"/>
      <c r="DA31" s="86"/>
      <c r="DB31" s="86"/>
      <c r="DC31" s="86"/>
      <c r="DD31" s="86"/>
      <c r="DE31" s="28"/>
      <c r="DF31" s="28"/>
      <c r="DG31" s="28"/>
      <c r="DI31" s="37"/>
      <c r="DJ31" s="37"/>
      <c r="DK31" s="37"/>
      <c r="DL31" s="37"/>
      <c r="DM31" s="37"/>
      <c r="DN31" s="37">
        <v>12</v>
      </c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62" t="s">
        <v>117</v>
      </c>
      <c r="EA31" s="62"/>
    </row>
    <row r="32" spans="1:131" s="56" customFormat="1" x14ac:dyDescent="0.35">
      <c r="A32" s="267">
        <f t="shared" si="2"/>
        <v>18</v>
      </c>
      <c r="B32" s="274"/>
      <c r="C32" s="95"/>
      <c r="D32" s="95"/>
      <c r="E32" s="95"/>
      <c r="F32" s="95"/>
      <c r="G32" s="95"/>
      <c r="H32" s="86" t="s">
        <v>21</v>
      </c>
      <c r="I32" s="24" t="s">
        <v>20</v>
      </c>
      <c r="J32" s="86">
        <v>0.8</v>
      </c>
      <c r="K32" s="95"/>
      <c r="L32" s="215"/>
      <c r="M32" s="239"/>
      <c r="N32" s="95" t="s">
        <v>180</v>
      </c>
      <c r="O32" s="218">
        <v>1</v>
      </c>
      <c r="P32" s="217" t="s">
        <v>182</v>
      </c>
      <c r="Q32" s="86">
        <v>1</v>
      </c>
      <c r="R32" s="86">
        <v>125</v>
      </c>
      <c r="S32" s="86"/>
      <c r="T32" s="86"/>
      <c r="U32" s="86"/>
      <c r="V32" s="86"/>
      <c r="W32" s="86"/>
      <c r="X32" s="81"/>
      <c r="Y32" s="84"/>
      <c r="Z32" s="86"/>
      <c r="AA32" s="86"/>
      <c r="AB32" s="86"/>
      <c r="AC32" s="86"/>
      <c r="AD32" s="86"/>
      <c r="AE32" s="86"/>
      <c r="AF32" s="86"/>
      <c r="AG32" s="218"/>
      <c r="AH32" s="79"/>
      <c r="AI32" s="20">
        <f t="shared" si="0"/>
        <v>0</v>
      </c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>
        <v>6</v>
      </c>
      <c r="CE32" s="57">
        <v>1</v>
      </c>
      <c r="CF32" s="58"/>
      <c r="CG32" s="86">
        <v>3</v>
      </c>
      <c r="CH32" s="86"/>
      <c r="CI32" s="86"/>
      <c r="CJ32" s="86">
        <v>2</v>
      </c>
      <c r="CK32" s="86"/>
      <c r="CL32" s="86"/>
      <c r="CM32" s="20"/>
      <c r="CN32" s="86">
        <v>220</v>
      </c>
      <c r="CO32" s="86">
        <v>38</v>
      </c>
      <c r="CP32" s="86">
        <v>8</v>
      </c>
      <c r="CQ32" s="86">
        <v>6</v>
      </c>
      <c r="CR32" s="86">
        <v>1</v>
      </c>
      <c r="CS32" s="86">
        <v>1</v>
      </c>
      <c r="CT32" s="86" t="s">
        <v>21</v>
      </c>
      <c r="CU32" s="24" t="s">
        <v>20</v>
      </c>
      <c r="CV32" s="86">
        <v>0.8</v>
      </c>
      <c r="CW32" s="86" t="s">
        <v>4</v>
      </c>
      <c r="CX32" s="86" t="s">
        <v>22</v>
      </c>
      <c r="CY32" s="86">
        <v>6</v>
      </c>
      <c r="CZ32" s="86">
        <f>SUM(CE32:CM32)</f>
        <v>6</v>
      </c>
      <c r="DA32" s="86"/>
      <c r="DB32" s="86">
        <v>6</v>
      </c>
      <c r="DC32" s="86">
        <v>70</v>
      </c>
      <c r="DD32" s="86">
        <v>56</v>
      </c>
      <c r="DE32" s="28">
        <f t="shared" si="1"/>
        <v>2310.35</v>
      </c>
      <c r="DF32" s="28">
        <f t="shared" si="6"/>
        <v>1980.2999999999997</v>
      </c>
      <c r="DG32" s="28">
        <f t="shared" si="7"/>
        <v>1377.6</v>
      </c>
      <c r="DI32" s="37">
        <v>35</v>
      </c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62" t="s">
        <v>98</v>
      </c>
      <c r="EA32" s="62"/>
    </row>
    <row r="33" spans="1:131" s="56" customFormat="1" x14ac:dyDescent="0.35">
      <c r="A33" s="267">
        <f t="shared" si="2"/>
        <v>19</v>
      </c>
      <c r="B33" s="274"/>
      <c r="C33" s="95"/>
      <c r="D33" s="95"/>
      <c r="E33" s="95"/>
      <c r="F33" s="95"/>
      <c r="G33" s="95"/>
      <c r="H33" s="86"/>
      <c r="I33" s="24" t="s">
        <v>20</v>
      </c>
      <c r="J33" s="86">
        <v>0.8</v>
      </c>
      <c r="K33" s="95"/>
      <c r="L33" s="215"/>
      <c r="M33" s="239">
        <v>0</v>
      </c>
      <c r="N33" s="95" t="s">
        <v>179</v>
      </c>
      <c r="O33" s="218">
        <v>5</v>
      </c>
      <c r="P33" s="217" t="s">
        <v>41</v>
      </c>
      <c r="Q33" s="86">
        <v>5</v>
      </c>
      <c r="R33" s="86">
        <v>150</v>
      </c>
      <c r="S33" s="86">
        <v>1.0900000000000001</v>
      </c>
      <c r="T33" s="86">
        <v>0.4</v>
      </c>
      <c r="U33" s="86">
        <v>0.43</v>
      </c>
      <c r="V33" s="86">
        <v>11</v>
      </c>
      <c r="W33" s="86">
        <v>0.59</v>
      </c>
      <c r="X33" s="81" t="s">
        <v>24</v>
      </c>
      <c r="Y33" s="59"/>
      <c r="Z33" s="3"/>
      <c r="AA33" s="86"/>
      <c r="AB33" s="86"/>
      <c r="AC33" s="86"/>
      <c r="AD33" s="86"/>
      <c r="AE33" s="86"/>
      <c r="AF33" s="86"/>
      <c r="AG33" s="218"/>
      <c r="AH33" s="79"/>
      <c r="AI33" s="20">
        <f t="shared" si="0"/>
        <v>0</v>
      </c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57"/>
      <c r="CF33" s="58"/>
      <c r="CG33" s="86"/>
      <c r="CH33" s="86"/>
      <c r="CI33" s="86"/>
      <c r="CJ33" s="86"/>
      <c r="CK33" s="86"/>
      <c r="CL33" s="86"/>
      <c r="CM33" s="20"/>
      <c r="CN33" s="86"/>
      <c r="CO33" s="86"/>
      <c r="CP33" s="86"/>
      <c r="CQ33" s="86"/>
      <c r="CR33" s="86"/>
      <c r="CS33" s="86"/>
      <c r="CT33" s="86"/>
      <c r="CU33" s="24"/>
      <c r="CV33" s="86"/>
      <c r="CW33" s="86"/>
      <c r="CX33" s="86"/>
      <c r="CY33" s="86"/>
      <c r="CZ33" s="86"/>
      <c r="DA33" s="86"/>
      <c r="DB33" s="86"/>
      <c r="DC33" s="86"/>
      <c r="DD33" s="86"/>
      <c r="DE33" s="28"/>
      <c r="DF33" s="28"/>
      <c r="DG33" s="28"/>
      <c r="DI33" s="9"/>
      <c r="DJ33" s="9"/>
      <c r="DK33" s="9"/>
      <c r="DL33" s="9"/>
      <c r="DM33" s="9"/>
      <c r="DN33" s="9"/>
      <c r="DO33" s="9"/>
      <c r="DP33" s="9">
        <v>17</v>
      </c>
      <c r="DQ33" s="9"/>
      <c r="DR33" s="9"/>
      <c r="DS33" s="9"/>
      <c r="DT33" s="9"/>
      <c r="DU33" s="9"/>
      <c r="DV33" s="9"/>
      <c r="DW33" s="9"/>
      <c r="DX33" s="9"/>
      <c r="DY33" s="9"/>
      <c r="DZ33" s="61" t="s">
        <v>118</v>
      </c>
      <c r="EA33" s="61" t="s">
        <v>137</v>
      </c>
    </row>
    <row r="34" spans="1:131" s="108" customFormat="1" ht="18.5" x14ac:dyDescent="0.45">
      <c r="A34" s="285" t="s">
        <v>174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7"/>
      <c r="AH34" s="102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4"/>
      <c r="BS34" s="104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5"/>
      <c r="CF34" s="106"/>
      <c r="CG34" s="101"/>
      <c r="CH34" s="101"/>
      <c r="CI34" s="101"/>
      <c r="CJ34" s="101"/>
      <c r="CK34" s="101"/>
      <c r="CL34" s="101"/>
      <c r="CM34" s="104"/>
      <c r="CN34" s="101"/>
      <c r="CO34" s="101"/>
      <c r="CP34" s="101"/>
      <c r="CQ34" s="101"/>
      <c r="CR34" s="101"/>
      <c r="CS34" s="101"/>
      <c r="CT34" s="101"/>
      <c r="CU34" s="103"/>
      <c r="CV34" s="101"/>
      <c r="CW34" s="101"/>
      <c r="CX34" s="101"/>
      <c r="CY34" s="101"/>
      <c r="CZ34" s="101"/>
      <c r="DA34" s="101"/>
      <c r="DB34" s="101"/>
      <c r="DC34" s="101"/>
      <c r="DD34" s="101"/>
      <c r="DE34" s="107"/>
      <c r="DF34" s="107"/>
      <c r="DG34" s="107"/>
      <c r="DI34" s="109"/>
      <c r="DJ34" s="109"/>
      <c r="DK34" s="109"/>
      <c r="DL34" s="109"/>
      <c r="DM34" s="109"/>
      <c r="DN34" s="109"/>
      <c r="DO34" s="109"/>
      <c r="DP34" s="109"/>
      <c r="DQ34" s="109"/>
      <c r="DR34" s="109"/>
      <c r="DS34" s="109">
        <v>13</v>
      </c>
      <c r="DT34" s="109"/>
      <c r="DU34" s="109"/>
      <c r="DV34" s="109"/>
      <c r="DW34" s="109"/>
      <c r="DX34" s="109"/>
      <c r="DY34" s="109"/>
      <c r="DZ34" s="110"/>
      <c r="EA34" s="110" t="s">
        <v>138</v>
      </c>
    </row>
    <row r="35" spans="1:131" s="56" customFormat="1" ht="15.5" x14ac:dyDescent="0.35">
      <c r="A35" s="57">
        <v>1</v>
      </c>
      <c r="B35" s="179" t="s">
        <v>163</v>
      </c>
      <c r="C35" s="95">
        <v>350</v>
      </c>
      <c r="D35" s="60">
        <v>35</v>
      </c>
      <c r="E35" s="95">
        <v>8</v>
      </c>
      <c r="F35" s="95">
        <v>5</v>
      </c>
      <c r="G35" s="95">
        <v>0.5</v>
      </c>
      <c r="H35" s="86"/>
      <c r="I35" s="24" t="s">
        <v>20</v>
      </c>
      <c r="J35" s="86">
        <v>0.8</v>
      </c>
      <c r="K35" s="95" t="s">
        <v>4</v>
      </c>
      <c r="L35" s="215" t="s">
        <v>24</v>
      </c>
      <c r="M35" s="239">
        <v>0</v>
      </c>
      <c r="N35" s="95"/>
      <c r="O35" s="218">
        <v>0</v>
      </c>
      <c r="P35" s="216" t="s">
        <v>41</v>
      </c>
      <c r="Q35" s="87">
        <v>10</v>
      </c>
      <c r="R35" s="86">
        <v>70</v>
      </c>
      <c r="S35" s="86">
        <v>0.5</v>
      </c>
      <c r="T35" s="86">
        <v>0.46</v>
      </c>
      <c r="U35" s="86">
        <v>0.42</v>
      </c>
      <c r="V35" s="86">
        <v>5</v>
      </c>
      <c r="W35" s="86">
        <v>0.48</v>
      </c>
      <c r="X35" s="218" t="s">
        <v>24</v>
      </c>
      <c r="Y35" s="84" t="s">
        <v>40</v>
      </c>
      <c r="Z35" s="3">
        <v>10</v>
      </c>
      <c r="AA35" s="86">
        <v>20</v>
      </c>
      <c r="AB35" s="86">
        <v>0.33</v>
      </c>
      <c r="AC35" s="86">
        <v>0.56000000000000005</v>
      </c>
      <c r="AD35" s="86">
        <v>0.51</v>
      </c>
      <c r="AE35" s="86">
        <v>14</v>
      </c>
      <c r="AF35" s="86">
        <v>0.35</v>
      </c>
      <c r="AG35" s="218" t="s">
        <v>24</v>
      </c>
      <c r="AH35" s="79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57"/>
      <c r="CF35" s="58"/>
      <c r="CG35" s="86"/>
      <c r="CH35" s="86"/>
      <c r="CI35" s="86"/>
      <c r="CJ35" s="86"/>
      <c r="CK35" s="86"/>
      <c r="CL35" s="86"/>
      <c r="CM35" s="20"/>
      <c r="CN35" s="86"/>
      <c r="CO35" s="86"/>
      <c r="CP35" s="86"/>
      <c r="CQ35" s="86"/>
      <c r="CR35" s="86"/>
      <c r="CS35" s="86"/>
      <c r="CT35" s="86"/>
      <c r="CU35" s="24"/>
      <c r="CV35" s="86"/>
      <c r="CW35" s="86"/>
      <c r="CX35" s="86"/>
      <c r="CY35" s="86"/>
      <c r="CZ35" s="86"/>
      <c r="DA35" s="86"/>
      <c r="DB35" s="86"/>
      <c r="DC35" s="86"/>
      <c r="DD35" s="86"/>
      <c r="DE35" s="28"/>
      <c r="DF35" s="28"/>
      <c r="DG35" s="28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61"/>
      <c r="EA35" s="61"/>
    </row>
    <row r="36" spans="1:131" s="56" customFormat="1" ht="15.5" x14ac:dyDescent="0.35">
      <c r="A36" s="57">
        <v>2</v>
      </c>
      <c r="B36" s="175" t="s">
        <v>164</v>
      </c>
      <c r="C36" s="95">
        <v>380</v>
      </c>
      <c r="D36" s="60">
        <v>35</v>
      </c>
      <c r="E36" s="95">
        <v>8</v>
      </c>
      <c r="F36" s="95">
        <v>6</v>
      </c>
      <c r="G36" s="95">
        <v>0.5</v>
      </c>
      <c r="H36" s="86" t="s">
        <v>21</v>
      </c>
      <c r="I36" s="24" t="s">
        <v>20</v>
      </c>
      <c r="J36" s="86">
        <v>0.8</v>
      </c>
      <c r="K36" s="95" t="s">
        <v>4</v>
      </c>
      <c r="L36" s="215" t="s">
        <v>24</v>
      </c>
      <c r="M36" s="239">
        <v>7</v>
      </c>
      <c r="N36" s="95"/>
      <c r="O36" s="218">
        <v>0</v>
      </c>
      <c r="P36" s="217" t="s">
        <v>41</v>
      </c>
      <c r="Q36" s="86">
        <v>11</v>
      </c>
      <c r="R36" s="86">
        <v>70</v>
      </c>
      <c r="S36" s="86">
        <v>0.45</v>
      </c>
      <c r="T36" s="86">
        <v>0.4</v>
      </c>
      <c r="U36" s="86">
        <v>0.41</v>
      </c>
      <c r="V36" s="86">
        <v>6</v>
      </c>
      <c r="W36" s="86">
        <v>0.56000000000000005</v>
      </c>
      <c r="X36" s="218" t="s">
        <v>24</v>
      </c>
      <c r="Y36" s="84" t="s">
        <v>40</v>
      </c>
      <c r="Z36" s="86">
        <v>11</v>
      </c>
      <c r="AA36" s="86">
        <v>28</v>
      </c>
      <c r="AB36" s="86">
        <v>0.39</v>
      </c>
      <c r="AC36" s="86">
        <v>0.46</v>
      </c>
      <c r="AD36" s="86">
        <v>0.4</v>
      </c>
      <c r="AE36" s="86">
        <v>17</v>
      </c>
      <c r="AF36" s="86">
        <v>0.42</v>
      </c>
      <c r="AG36" s="218" t="s">
        <v>24</v>
      </c>
      <c r="AH36" s="79"/>
      <c r="AI36" s="20">
        <f t="shared" ref="AI36:AI51" si="8">C36*F36</f>
        <v>2280</v>
      </c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>
        <v>6</v>
      </c>
      <c r="CE36" s="57">
        <v>2</v>
      </c>
      <c r="CF36" s="58"/>
      <c r="CG36" s="86">
        <v>4</v>
      </c>
      <c r="CH36" s="86"/>
      <c r="CI36" s="86"/>
      <c r="CJ36" s="86"/>
      <c r="CK36" s="86"/>
      <c r="CL36" s="86"/>
      <c r="CM36" s="20"/>
      <c r="CN36" s="86">
        <v>175</v>
      </c>
      <c r="CO36" s="86">
        <v>35</v>
      </c>
      <c r="CP36" s="86">
        <v>8</v>
      </c>
      <c r="CQ36" s="86">
        <v>6</v>
      </c>
      <c r="CR36" s="86">
        <v>0.5</v>
      </c>
      <c r="CS36" s="86">
        <v>0.5</v>
      </c>
      <c r="CT36" s="86" t="s">
        <v>21</v>
      </c>
      <c r="CU36" s="24" t="s">
        <v>20</v>
      </c>
      <c r="CV36" s="86">
        <v>0.8</v>
      </c>
      <c r="CW36" s="86" t="s">
        <v>4</v>
      </c>
      <c r="CX36" s="86" t="s">
        <v>22</v>
      </c>
      <c r="CY36" s="86">
        <v>6</v>
      </c>
      <c r="CZ36" s="86">
        <f>SUM(CE36:CM36)</f>
        <v>6</v>
      </c>
      <c r="DA36" s="86"/>
      <c r="DB36" s="86">
        <v>6</v>
      </c>
      <c r="DC36" s="86">
        <v>70</v>
      </c>
      <c r="DD36" s="86">
        <v>56</v>
      </c>
      <c r="DE36" s="28">
        <f t="shared" si="1"/>
        <v>2357.5</v>
      </c>
      <c r="DF36" s="28">
        <f t="shared" si="6"/>
        <v>1980.2999999999997</v>
      </c>
      <c r="DG36" s="28">
        <f t="shared" si="7"/>
        <v>1377.6</v>
      </c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>
        <v>7</v>
      </c>
      <c r="DT36" s="37"/>
      <c r="DU36" s="37"/>
      <c r="DV36" s="37"/>
      <c r="DW36" s="37"/>
      <c r="DX36" s="37"/>
      <c r="DY36" s="37"/>
      <c r="DZ36" s="62" t="s">
        <v>119</v>
      </c>
      <c r="EA36" s="62"/>
    </row>
    <row r="37" spans="1:131" s="56" customFormat="1" ht="15" customHeight="1" x14ac:dyDescent="0.35">
      <c r="A37" s="270">
        <v>3</v>
      </c>
      <c r="B37" s="265" t="s">
        <v>165</v>
      </c>
      <c r="C37" s="95">
        <v>380</v>
      </c>
      <c r="D37" s="60">
        <v>35</v>
      </c>
      <c r="E37" s="95">
        <v>8</v>
      </c>
      <c r="F37" s="95">
        <v>6</v>
      </c>
      <c r="G37" s="95">
        <v>0.5</v>
      </c>
      <c r="H37" s="86" t="s">
        <v>21</v>
      </c>
      <c r="I37" s="24" t="s">
        <v>20</v>
      </c>
      <c r="J37" s="86">
        <v>0.8</v>
      </c>
      <c r="K37" s="95" t="s">
        <v>4</v>
      </c>
      <c r="L37" s="215" t="s">
        <v>24</v>
      </c>
      <c r="M37" s="239">
        <v>8</v>
      </c>
      <c r="N37" s="95" t="s">
        <v>180</v>
      </c>
      <c r="O37" s="218">
        <v>2</v>
      </c>
      <c r="P37" s="217" t="s">
        <v>182</v>
      </c>
      <c r="Q37" s="86">
        <v>9</v>
      </c>
      <c r="R37" s="86">
        <v>125</v>
      </c>
      <c r="S37" s="86">
        <v>0.32</v>
      </c>
      <c r="T37" s="86">
        <v>0.35</v>
      </c>
      <c r="U37" s="86">
        <v>0.37</v>
      </c>
      <c r="V37" s="86">
        <v>6</v>
      </c>
      <c r="W37" s="86">
        <v>0.61</v>
      </c>
      <c r="X37" s="218" t="s">
        <v>76</v>
      </c>
      <c r="Y37" s="84" t="s">
        <v>40</v>
      </c>
      <c r="Z37" s="3">
        <v>12</v>
      </c>
      <c r="AA37" s="86">
        <v>28</v>
      </c>
      <c r="AB37" s="86">
        <v>0.39</v>
      </c>
      <c r="AC37" s="86">
        <v>0.46</v>
      </c>
      <c r="AD37" s="86">
        <v>0.4</v>
      </c>
      <c r="AE37" s="86">
        <v>17</v>
      </c>
      <c r="AF37" s="86">
        <v>0.42</v>
      </c>
      <c r="AG37" s="218" t="s">
        <v>24</v>
      </c>
      <c r="AH37" s="79"/>
      <c r="AI37" s="20">
        <f t="shared" si="8"/>
        <v>2280</v>
      </c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57"/>
      <c r="CF37" s="58"/>
      <c r="CG37" s="86"/>
      <c r="CH37" s="86"/>
      <c r="CI37" s="86"/>
      <c r="CJ37" s="86"/>
      <c r="CK37" s="86"/>
      <c r="CL37" s="86"/>
      <c r="CM37" s="20"/>
      <c r="CN37" s="86"/>
      <c r="CO37" s="86"/>
      <c r="CP37" s="86"/>
      <c r="CQ37" s="86"/>
      <c r="CR37" s="86"/>
      <c r="CS37" s="86"/>
      <c r="CT37" s="86"/>
      <c r="CU37" s="24"/>
      <c r="CV37" s="86"/>
      <c r="CW37" s="86"/>
      <c r="CX37" s="86"/>
      <c r="CY37" s="86"/>
      <c r="CZ37" s="86"/>
      <c r="DA37" s="86"/>
      <c r="DB37" s="86"/>
      <c r="DC37" s="86"/>
      <c r="DD37" s="86"/>
      <c r="DE37" s="28"/>
      <c r="DF37" s="28"/>
      <c r="DG37" s="28"/>
      <c r="DI37" s="9"/>
      <c r="DJ37" s="9"/>
      <c r="DK37" s="9"/>
      <c r="DL37" s="9"/>
      <c r="DM37" s="9"/>
      <c r="DN37" s="9"/>
      <c r="DO37" s="9">
        <v>8</v>
      </c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61" t="s">
        <v>120</v>
      </c>
      <c r="EA37" s="61"/>
    </row>
    <row r="38" spans="1:131" s="56" customFormat="1" ht="15" customHeight="1" x14ac:dyDescent="0.35">
      <c r="A38" s="271"/>
      <c r="B38" s="275"/>
      <c r="C38" s="234"/>
      <c r="D38" s="95"/>
      <c r="E38" s="95"/>
      <c r="F38" s="95"/>
      <c r="G38" s="95"/>
      <c r="H38" s="86"/>
      <c r="I38" s="24" t="s">
        <v>20</v>
      </c>
      <c r="J38" s="86">
        <v>0.8</v>
      </c>
      <c r="K38" s="95"/>
      <c r="L38" s="215"/>
      <c r="M38" s="239"/>
      <c r="N38" s="95" t="s">
        <v>179</v>
      </c>
      <c r="O38" s="218">
        <v>1</v>
      </c>
      <c r="P38" s="217" t="s">
        <v>41</v>
      </c>
      <c r="Q38" s="86">
        <v>2</v>
      </c>
      <c r="R38" s="86">
        <v>150</v>
      </c>
      <c r="S38" s="86"/>
      <c r="T38" s="86"/>
      <c r="U38" s="86"/>
      <c r="V38" s="86"/>
      <c r="W38" s="86"/>
      <c r="X38" s="218"/>
      <c r="Y38" s="84"/>
      <c r="Z38" s="3"/>
      <c r="AA38" s="86"/>
      <c r="AB38" s="3"/>
      <c r="AC38" s="3"/>
      <c r="AD38" s="3"/>
      <c r="AE38" s="3"/>
      <c r="AF38" s="3"/>
      <c r="AG38" s="218"/>
      <c r="AH38" s="79"/>
      <c r="AI38" s="20">
        <f t="shared" si="8"/>
        <v>0</v>
      </c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>
        <v>28</v>
      </c>
      <c r="CE38" s="57"/>
      <c r="CF38" s="58">
        <v>21</v>
      </c>
      <c r="CG38" s="86"/>
      <c r="CH38" s="86">
        <v>7</v>
      </c>
      <c r="CI38" s="86"/>
      <c r="CJ38" s="86"/>
      <c r="CK38" s="86"/>
      <c r="CL38" s="86"/>
      <c r="CM38" s="20"/>
      <c r="CN38" s="86">
        <v>1200</v>
      </c>
      <c r="CO38" s="86">
        <v>30</v>
      </c>
      <c r="CP38" s="86">
        <v>8</v>
      </c>
      <c r="CQ38" s="86">
        <v>8</v>
      </c>
      <c r="CR38" s="86">
        <v>3</v>
      </c>
      <c r="CS38" s="86">
        <v>3</v>
      </c>
      <c r="CT38" s="86" t="s">
        <v>21</v>
      </c>
      <c r="CU38" s="24" t="s">
        <v>20</v>
      </c>
      <c r="CV38" s="86">
        <v>0.8</v>
      </c>
      <c r="CW38" s="86" t="s">
        <v>4</v>
      </c>
      <c r="CX38" s="86" t="s">
        <v>25</v>
      </c>
      <c r="CY38" s="86">
        <v>28</v>
      </c>
      <c r="CZ38" s="86">
        <f>SUM(CE38:CM38)</f>
        <v>28</v>
      </c>
      <c r="DA38" s="86"/>
      <c r="DB38" s="86">
        <v>28</v>
      </c>
      <c r="DC38" s="86">
        <v>250</v>
      </c>
      <c r="DD38" s="86">
        <v>110</v>
      </c>
      <c r="DE38" s="28">
        <f t="shared" si="1"/>
        <v>33004.999999999993</v>
      </c>
      <c r="DF38" s="28">
        <f t="shared" si="6"/>
        <v>33004.999999999993</v>
      </c>
      <c r="DG38" s="28">
        <f t="shared" si="7"/>
        <v>12628</v>
      </c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>
        <v>30</v>
      </c>
      <c r="DV38" s="9"/>
      <c r="DW38" s="9"/>
      <c r="DX38" s="9"/>
      <c r="DY38" s="9"/>
      <c r="DZ38" s="61" t="s">
        <v>121</v>
      </c>
      <c r="EA38" s="61"/>
    </row>
    <row r="39" spans="1:131" s="56" customFormat="1" ht="15" customHeight="1" x14ac:dyDescent="0.35">
      <c r="A39" s="272"/>
      <c r="B39" s="276"/>
      <c r="C39" s="95"/>
      <c r="D39" s="95"/>
      <c r="E39" s="95"/>
      <c r="F39" s="95"/>
      <c r="G39" s="95"/>
      <c r="H39" s="86" t="s">
        <v>21</v>
      </c>
      <c r="I39" s="24" t="s">
        <v>20</v>
      </c>
      <c r="J39" s="86">
        <v>0.8</v>
      </c>
      <c r="K39" s="95"/>
      <c r="L39" s="215"/>
      <c r="M39" s="239"/>
      <c r="N39" s="95" t="s">
        <v>181</v>
      </c>
      <c r="O39" s="218">
        <v>1</v>
      </c>
      <c r="P39" s="217" t="s">
        <v>184</v>
      </c>
      <c r="Q39" s="86">
        <v>1</v>
      </c>
      <c r="R39" s="86">
        <v>72</v>
      </c>
      <c r="S39" s="86"/>
      <c r="T39" s="86"/>
      <c r="U39" s="86"/>
      <c r="V39" s="86"/>
      <c r="W39" s="86"/>
      <c r="X39" s="218"/>
      <c r="Y39" s="84"/>
      <c r="Z39" s="3"/>
      <c r="AA39" s="86"/>
      <c r="AB39" s="3"/>
      <c r="AC39" s="3"/>
      <c r="AD39" s="3"/>
      <c r="AE39" s="3"/>
      <c r="AF39" s="3"/>
      <c r="AG39" s="218"/>
      <c r="AH39" s="79"/>
      <c r="AI39" s="20">
        <f t="shared" si="8"/>
        <v>0</v>
      </c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57"/>
      <c r="CF39" s="58"/>
      <c r="CG39" s="86"/>
      <c r="CH39" s="86"/>
      <c r="CI39" s="86"/>
      <c r="CJ39" s="86"/>
      <c r="CK39" s="86"/>
      <c r="CL39" s="86"/>
      <c r="CM39" s="20"/>
      <c r="CN39" s="86"/>
      <c r="CO39" s="86"/>
      <c r="CP39" s="86"/>
      <c r="CQ39" s="86"/>
      <c r="CR39" s="86"/>
      <c r="CS39" s="86"/>
      <c r="CT39" s="86"/>
      <c r="CU39" s="24"/>
      <c r="CV39" s="86"/>
      <c r="CW39" s="86"/>
      <c r="CX39" s="86"/>
      <c r="CY39" s="86"/>
      <c r="CZ39" s="86"/>
      <c r="DA39" s="86"/>
      <c r="DB39" s="86"/>
      <c r="DC39" s="86"/>
      <c r="DD39" s="86"/>
      <c r="DE39" s="28"/>
      <c r="DF39" s="28"/>
      <c r="DG39" s="28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>
        <v>18</v>
      </c>
      <c r="DV39" s="9"/>
      <c r="DW39" s="9"/>
      <c r="DX39" s="9"/>
      <c r="DY39" s="9"/>
      <c r="DZ39" s="61" t="s">
        <v>122</v>
      </c>
      <c r="EA39" s="61"/>
    </row>
    <row r="40" spans="1:131" s="56" customFormat="1" ht="15" customHeight="1" x14ac:dyDescent="0.35">
      <c r="A40" s="270">
        <v>4</v>
      </c>
      <c r="B40" s="265" t="s">
        <v>166</v>
      </c>
      <c r="C40" s="95">
        <v>270</v>
      </c>
      <c r="D40" s="60">
        <v>35</v>
      </c>
      <c r="E40" s="95">
        <v>8</v>
      </c>
      <c r="F40" s="95">
        <v>6</v>
      </c>
      <c r="G40" s="95">
        <v>0.5</v>
      </c>
      <c r="H40" s="86" t="s">
        <v>21</v>
      </c>
      <c r="I40" s="24" t="s">
        <v>20</v>
      </c>
      <c r="J40" s="86">
        <v>0.8</v>
      </c>
      <c r="K40" s="95" t="s">
        <v>4</v>
      </c>
      <c r="L40" s="215" t="s">
        <v>24</v>
      </c>
      <c r="M40" s="239">
        <v>5</v>
      </c>
      <c r="N40" s="95" t="s">
        <v>180</v>
      </c>
      <c r="O40" s="218">
        <v>1</v>
      </c>
      <c r="P40" s="217" t="s">
        <v>182</v>
      </c>
      <c r="Q40" s="86">
        <v>1</v>
      </c>
      <c r="R40" s="86">
        <v>125</v>
      </c>
      <c r="S40" s="86"/>
      <c r="T40" s="86"/>
      <c r="U40" s="86"/>
      <c r="V40" s="86"/>
      <c r="W40" s="86"/>
      <c r="X40" s="218"/>
      <c r="Y40" s="84" t="s">
        <v>40</v>
      </c>
      <c r="Z40" s="86">
        <v>7</v>
      </c>
      <c r="AA40" s="86">
        <v>28</v>
      </c>
      <c r="AB40" s="86">
        <v>0.39</v>
      </c>
      <c r="AC40" s="86">
        <v>0.46</v>
      </c>
      <c r="AD40" s="86">
        <v>0.4</v>
      </c>
      <c r="AE40" s="86">
        <v>17</v>
      </c>
      <c r="AF40" s="86">
        <v>0.42</v>
      </c>
      <c r="AG40" s="218" t="s">
        <v>24</v>
      </c>
      <c r="AH40" s="79"/>
      <c r="AI40" s="20">
        <f t="shared" si="8"/>
        <v>1620</v>
      </c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>
        <v>4</v>
      </c>
      <c r="CE40" s="57"/>
      <c r="CF40" s="58"/>
      <c r="CG40" s="86"/>
      <c r="CH40" s="86"/>
      <c r="CI40" s="86"/>
      <c r="CJ40" s="86"/>
      <c r="CK40" s="86"/>
      <c r="CL40" s="86"/>
      <c r="CM40" s="20">
        <v>4</v>
      </c>
      <c r="CN40" s="86">
        <v>150</v>
      </c>
      <c r="CO40" s="86">
        <v>35</v>
      </c>
      <c r="CP40" s="86">
        <v>8</v>
      </c>
      <c r="CQ40" s="86">
        <v>7</v>
      </c>
      <c r="CR40" s="86">
        <v>0</v>
      </c>
      <c r="CS40" s="86">
        <v>0</v>
      </c>
      <c r="CT40" s="86" t="s">
        <v>21</v>
      </c>
      <c r="CU40" s="24" t="s">
        <v>20</v>
      </c>
      <c r="CV40" s="86">
        <v>0.8</v>
      </c>
      <c r="CW40" s="86" t="s">
        <v>4</v>
      </c>
      <c r="CX40" s="86" t="s">
        <v>22</v>
      </c>
      <c r="CY40" s="86">
        <v>4</v>
      </c>
      <c r="CZ40" s="86">
        <f>SUM(CE40:CM40)</f>
        <v>4</v>
      </c>
      <c r="DA40" s="86"/>
      <c r="DB40" s="86">
        <v>4</v>
      </c>
      <c r="DC40" s="86">
        <v>125</v>
      </c>
      <c r="DD40" s="86">
        <v>56</v>
      </c>
      <c r="DE40" s="28">
        <f t="shared" si="1"/>
        <v>2357.5</v>
      </c>
      <c r="DF40" s="28">
        <f t="shared" si="6"/>
        <v>2357.5</v>
      </c>
      <c r="DG40" s="28">
        <f t="shared" si="7"/>
        <v>918.4</v>
      </c>
      <c r="DI40" s="37"/>
      <c r="DJ40" s="37"/>
      <c r="DK40" s="37"/>
      <c r="DL40" s="37"/>
      <c r="DM40" s="37"/>
      <c r="DN40" s="37"/>
      <c r="DO40" s="37"/>
      <c r="DP40" s="37"/>
      <c r="DQ40" s="37"/>
      <c r="DR40" s="37">
        <v>36</v>
      </c>
      <c r="DS40" s="37"/>
      <c r="DT40" s="37"/>
      <c r="DU40" s="37"/>
      <c r="DV40" s="37"/>
      <c r="DW40" s="37"/>
      <c r="DX40" s="37"/>
      <c r="DY40" s="37"/>
      <c r="DZ40" s="62" t="s">
        <v>97</v>
      </c>
      <c r="EA40" s="62"/>
    </row>
    <row r="41" spans="1:131" s="56" customFormat="1" ht="15" customHeight="1" x14ac:dyDescent="0.35">
      <c r="A41" s="272"/>
      <c r="B41" s="276"/>
      <c r="C41" s="95"/>
      <c r="D41" s="95"/>
      <c r="E41" s="95"/>
      <c r="F41" s="95"/>
      <c r="G41" s="95"/>
      <c r="H41" s="86"/>
      <c r="I41" s="24" t="s">
        <v>20</v>
      </c>
      <c r="J41" s="86">
        <v>0.8</v>
      </c>
      <c r="K41" s="95"/>
      <c r="L41" s="215"/>
      <c r="M41" s="239"/>
      <c r="N41" s="95" t="s">
        <v>179</v>
      </c>
      <c r="O41" s="218">
        <v>3</v>
      </c>
      <c r="P41" s="217" t="s">
        <v>41</v>
      </c>
      <c r="Q41" s="86">
        <v>6</v>
      </c>
      <c r="R41" s="86">
        <v>150</v>
      </c>
      <c r="S41" s="86">
        <v>1.0900000000000001</v>
      </c>
      <c r="T41" s="86">
        <v>0.4</v>
      </c>
      <c r="U41" s="86">
        <v>0.43</v>
      </c>
      <c r="V41" s="86">
        <v>11</v>
      </c>
      <c r="W41" s="86">
        <v>0.59</v>
      </c>
      <c r="X41" s="218" t="s">
        <v>24</v>
      </c>
      <c r="Y41" s="84"/>
      <c r="Z41" s="86"/>
      <c r="AA41" s="86"/>
      <c r="AB41" s="86"/>
      <c r="AC41" s="86"/>
      <c r="AD41" s="86"/>
      <c r="AE41" s="86"/>
      <c r="AF41" s="86"/>
      <c r="AG41" s="218"/>
      <c r="AH41" s="79"/>
      <c r="AI41" s="20">
        <f t="shared" si="8"/>
        <v>0</v>
      </c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>
        <v>6</v>
      </c>
      <c r="CE41" s="57"/>
      <c r="CF41" s="58"/>
      <c r="CG41" s="86"/>
      <c r="CH41" s="86"/>
      <c r="CI41" s="86">
        <v>6</v>
      </c>
      <c r="CJ41" s="86"/>
      <c r="CK41" s="86"/>
      <c r="CL41" s="86"/>
      <c r="CM41" s="20"/>
      <c r="CN41" s="86">
        <v>150</v>
      </c>
      <c r="CO41" s="86">
        <v>35</v>
      </c>
      <c r="CP41" s="86">
        <v>8</v>
      </c>
      <c r="CQ41" s="86">
        <v>7</v>
      </c>
      <c r="CR41" s="86">
        <v>0</v>
      </c>
      <c r="CS41" s="86">
        <v>0</v>
      </c>
      <c r="CT41" s="86" t="s">
        <v>21</v>
      </c>
      <c r="CU41" s="24" t="s">
        <v>20</v>
      </c>
      <c r="CV41" s="86">
        <v>0.8</v>
      </c>
      <c r="CW41" s="86" t="s">
        <v>4</v>
      </c>
      <c r="CX41" s="86" t="s">
        <v>22</v>
      </c>
      <c r="CY41" s="86">
        <v>6</v>
      </c>
      <c r="CZ41" s="86">
        <f>SUM(CE41:CM41)</f>
        <v>6</v>
      </c>
      <c r="DA41" s="86"/>
      <c r="DB41" s="86">
        <v>6</v>
      </c>
      <c r="DC41" s="86">
        <v>70</v>
      </c>
      <c r="DD41" s="86">
        <v>56</v>
      </c>
      <c r="DE41" s="28">
        <f t="shared" si="1"/>
        <v>2829</v>
      </c>
      <c r="DF41" s="28">
        <f t="shared" si="6"/>
        <v>1980.2999999999997</v>
      </c>
      <c r="DG41" s="28">
        <f t="shared" si="7"/>
        <v>1377.6</v>
      </c>
      <c r="DI41" s="37"/>
      <c r="DJ41" s="37"/>
      <c r="DK41" s="37"/>
      <c r="DL41" s="37"/>
      <c r="DM41" s="37"/>
      <c r="DN41" s="37"/>
      <c r="DO41" s="37"/>
      <c r="DP41" s="37">
        <v>24</v>
      </c>
      <c r="DQ41" s="37"/>
      <c r="DR41" s="37"/>
      <c r="DS41" s="37"/>
      <c r="DT41" s="37"/>
      <c r="DU41" s="37"/>
      <c r="DV41" s="37"/>
      <c r="DW41" s="37"/>
      <c r="DX41" s="37"/>
      <c r="DY41" s="37"/>
      <c r="DZ41" s="62" t="s">
        <v>123</v>
      </c>
      <c r="EA41" s="62" t="s">
        <v>139</v>
      </c>
    </row>
    <row r="42" spans="1:131" s="56" customFormat="1" ht="15" customHeight="1" x14ac:dyDescent="0.35">
      <c r="A42" s="270">
        <v>5</v>
      </c>
      <c r="B42" s="265" t="s">
        <v>167</v>
      </c>
      <c r="C42" s="95">
        <v>180</v>
      </c>
      <c r="D42" s="60">
        <v>35</v>
      </c>
      <c r="E42" s="95">
        <v>8</v>
      </c>
      <c r="F42" s="95">
        <v>5</v>
      </c>
      <c r="G42" s="95">
        <v>0.5</v>
      </c>
      <c r="H42" s="86"/>
      <c r="I42" s="24" t="s">
        <v>20</v>
      </c>
      <c r="J42" s="86">
        <v>0.8</v>
      </c>
      <c r="K42" s="95" t="s">
        <v>4</v>
      </c>
      <c r="L42" s="215" t="s">
        <v>24</v>
      </c>
      <c r="M42" s="239">
        <v>4</v>
      </c>
      <c r="N42" s="95" t="s">
        <v>180</v>
      </c>
      <c r="O42" s="218">
        <v>1</v>
      </c>
      <c r="P42" s="217" t="s">
        <v>182</v>
      </c>
      <c r="Q42" s="86">
        <v>1</v>
      </c>
      <c r="R42" s="86">
        <v>125</v>
      </c>
      <c r="S42" s="86"/>
      <c r="T42" s="86"/>
      <c r="U42" s="86"/>
      <c r="V42" s="86"/>
      <c r="W42" s="86"/>
      <c r="X42" s="218"/>
      <c r="Y42" s="84" t="s">
        <v>40</v>
      </c>
      <c r="Z42" s="86">
        <v>5</v>
      </c>
      <c r="AA42" s="86">
        <v>20</v>
      </c>
      <c r="AB42" s="86">
        <v>0.33</v>
      </c>
      <c r="AC42" s="86">
        <v>0.56000000000000005</v>
      </c>
      <c r="AD42" s="86">
        <v>0.51</v>
      </c>
      <c r="AE42" s="86">
        <v>14</v>
      </c>
      <c r="AF42" s="86">
        <v>0.35</v>
      </c>
      <c r="AG42" s="218" t="s">
        <v>24</v>
      </c>
      <c r="AH42" s="79"/>
      <c r="AI42" s="20">
        <f t="shared" si="8"/>
        <v>900</v>
      </c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>
        <v>8</v>
      </c>
      <c r="CE42" s="57">
        <v>7</v>
      </c>
      <c r="CF42" s="58"/>
      <c r="CG42" s="86"/>
      <c r="CH42" s="86"/>
      <c r="CI42" s="86"/>
      <c r="CJ42" s="86">
        <v>1</v>
      </c>
      <c r="CK42" s="86"/>
      <c r="CL42" s="86"/>
      <c r="CM42" s="20"/>
      <c r="CN42" s="86">
        <v>310</v>
      </c>
      <c r="CO42" s="86">
        <v>38</v>
      </c>
      <c r="CP42" s="86">
        <v>8</v>
      </c>
      <c r="CQ42" s="86">
        <v>7</v>
      </c>
      <c r="CR42" s="86">
        <v>0.5</v>
      </c>
      <c r="CS42" s="86">
        <v>0.5</v>
      </c>
      <c r="CT42" s="86" t="s">
        <v>21</v>
      </c>
      <c r="CU42" s="24" t="s">
        <v>20</v>
      </c>
      <c r="CV42" s="86">
        <v>0.8</v>
      </c>
      <c r="CW42" s="86" t="s">
        <v>4</v>
      </c>
      <c r="CX42" s="86" t="s">
        <v>24</v>
      </c>
      <c r="CY42" s="86">
        <v>8</v>
      </c>
      <c r="CZ42" s="86">
        <f>SUM(CE42:CM42)</f>
        <v>8</v>
      </c>
      <c r="DA42" s="86"/>
      <c r="DB42" s="86">
        <v>8</v>
      </c>
      <c r="DC42" s="86">
        <v>70</v>
      </c>
      <c r="DD42" s="86">
        <v>30</v>
      </c>
      <c r="DE42" s="28">
        <f t="shared" si="1"/>
        <v>1980.2999999999997</v>
      </c>
      <c r="DF42" s="28">
        <f t="shared" si="6"/>
        <v>2640.4</v>
      </c>
      <c r="DG42" s="28">
        <f t="shared" si="7"/>
        <v>984</v>
      </c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>
        <v>6</v>
      </c>
      <c r="DT42" s="37"/>
      <c r="DU42" s="37"/>
      <c r="DV42" s="37"/>
      <c r="DW42" s="37"/>
      <c r="DX42" s="37"/>
      <c r="DY42" s="37"/>
      <c r="DZ42" s="62"/>
      <c r="EA42" s="62" t="s">
        <v>140</v>
      </c>
    </row>
    <row r="43" spans="1:131" s="56" customFormat="1" ht="15" customHeight="1" x14ac:dyDescent="0.35">
      <c r="A43" s="272"/>
      <c r="B43" s="276"/>
      <c r="C43" s="95"/>
      <c r="D43" s="95"/>
      <c r="E43" s="95"/>
      <c r="F43" s="95"/>
      <c r="G43" s="95"/>
      <c r="H43" s="86"/>
      <c r="I43" s="24" t="s">
        <v>20</v>
      </c>
      <c r="J43" s="86">
        <v>0.8</v>
      </c>
      <c r="K43" s="95"/>
      <c r="L43" s="215"/>
      <c r="M43" s="239"/>
      <c r="N43" s="95" t="s">
        <v>179</v>
      </c>
      <c r="O43" s="218">
        <v>1</v>
      </c>
      <c r="P43" s="217" t="s">
        <v>41</v>
      </c>
      <c r="Q43" s="86">
        <v>4</v>
      </c>
      <c r="R43" s="86">
        <v>150</v>
      </c>
      <c r="S43" s="86">
        <v>1.21</v>
      </c>
      <c r="T43" s="86">
        <v>0.45</v>
      </c>
      <c r="U43" s="86">
        <v>0.42</v>
      </c>
      <c r="V43" s="86">
        <v>10</v>
      </c>
      <c r="W43" s="86">
        <v>0.5</v>
      </c>
      <c r="X43" s="218" t="s">
        <v>24</v>
      </c>
      <c r="Y43" s="84"/>
      <c r="Z43" s="3"/>
      <c r="AA43" s="86"/>
      <c r="AB43" s="86"/>
      <c r="AC43" s="86"/>
      <c r="AD43" s="86"/>
      <c r="AE43" s="86"/>
      <c r="AF43" s="86"/>
      <c r="AG43" s="218"/>
      <c r="AH43" s="79"/>
      <c r="AI43" s="20">
        <f t="shared" si="8"/>
        <v>0</v>
      </c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57"/>
      <c r="CF43" s="58"/>
      <c r="CG43" s="86"/>
      <c r="CH43" s="86"/>
      <c r="CI43" s="86"/>
      <c r="CJ43" s="86"/>
      <c r="CK43" s="86"/>
      <c r="CL43" s="86"/>
      <c r="CM43" s="20"/>
      <c r="CN43" s="86"/>
      <c r="CO43" s="86"/>
      <c r="CP43" s="86"/>
      <c r="CQ43" s="86"/>
      <c r="CR43" s="86"/>
      <c r="CS43" s="86"/>
      <c r="CT43" s="86"/>
      <c r="CU43" s="24"/>
      <c r="CV43" s="86"/>
      <c r="CW43" s="86"/>
      <c r="CX43" s="86"/>
      <c r="CY43" s="86"/>
      <c r="CZ43" s="86"/>
      <c r="DA43" s="86"/>
      <c r="DB43" s="86"/>
      <c r="DC43" s="86"/>
      <c r="DD43" s="86"/>
      <c r="DE43" s="28"/>
      <c r="DF43" s="28"/>
      <c r="DG43" s="28"/>
      <c r="DI43" s="9"/>
      <c r="DJ43" s="9"/>
      <c r="DK43" s="9"/>
      <c r="DL43" s="9"/>
      <c r="DM43" s="9">
        <v>24</v>
      </c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61" t="s">
        <v>124</v>
      </c>
      <c r="EA43" s="61" t="s">
        <v>141</v>
      </c>
    </row>
    <row r="44" spans="1:131" s="56" customFormat="1" ht="15" customHeight="1" x14ac:dyDescent="0.35">
      <c r="A44" s="270">
        <v>6</v>
      </c>
      <c r="B44" s="265" t="s">
        <v>168</v>
      </c>
      <c r="C44" s="95">
        <v>750</v>
      </c>
      <c r="D44" s="60">
        <v>35</v>
      </c>
      <c r="E44" s="95">
        <v>8</v>
      </c>
      <c r="F44" s="95">
        <v>8</v>
      </c>
      <c r="G44" s="95">
        <v>0.5</v>
      </c>
      <c r="H44" s="86" t="s">
        <v>21</v>
      </c>
      <c r="I44" s="24" t="s">
        <v>20</v>
      </c>
      <c r="J44" s="86">
        <v>0.8</v>
      </c>
      <c r="K44" s="95" t="s">
        <v>4</v>
      </c>
      <c r="L44" s="215" t="s">
        <v>24</v>
      </c>
      <c r="M44" s="239">
        <v>15</v>
      </c>
      <c r="N44" s="95" t="s">
        <v>179</v>
      </c>
      <c r="O44" s="218">
        <v>2</v>
      </c>
      <c r="P44" s="217" t="s">
        <v>41</v>
      </c>
      <c r="Q44" s="86">
        <v>10</v>
      </c>
      <c r="R44" s="86">
        <v>150</v>
      </c>
      <c r="S44" s="86">
        <v>0.98</v>
      </c>
      <c r="T44" s="86">
        <v>0.4</v>
      </c>
      <c r="U44" s="86">
        <v>0.43</v>
      </c>
      <c r="V44" s="86">
        <v>11</v>
      </c>
      <c r="W44" s="86">
        <v>0.5</v>
      </c>
      <c r="X44" s="218" t="s">
        <v>24</v>
      </c>
      <c r="Y44" s="84" t="s">
        <v>40</v>
      </c>
      <c r="Z44" s="3">
        <v>17</v>
      </c>
      <c r="AA44" s="86">
        <v>28</v>
      </c>
      <c r="AB44" s="3">
        <v>0.3</v>
      </c>
      <c r="AC44" s="3">
        <v>0.5</v>
      </c>
      <c r="AD44" s="3">
        <v>0.59</v>
      </c>
      <c r="AE44" s="3">
        <v>12</v>
      </c>
      <c r="AF44" s="3">
        <v>0.37</v>
      </c>
      <c r="AG44" s="218" t="s">
        <v>24</v>
      </c>
      <c r="AH44" s="79"/>
      <c r="AI44" s="20">
        <f t="shared" si="8"/>
        <v>6000</v>
      </c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>
        <v>4</v>
      </c>
      <c r="CE44" s="57">
        <v>4</v>
      </c>
      <c r="CF44" s="58"/>
      <c r="CG44" s="86"/>
      <c r="CH44" s="86"/>
      <c r="CI44" s="86"/>
      <c r="CJ44" s="86"/>
      <c r="CK44" s="86"/>
      <c r="CL44" s="86"/>
      <c r="CM44" s="20"/>
      <c r="CN44" s="86">
        <v>200</v>
      </c>
      <c r="CO44" s="86">
        <v>40</v>
      </c>
      <c r="CP44" s="86">
        <v>8</v>
      </c>
      <c r="CQ44" s="86">
        <v>7</v>
      </c>
      <c r="CR44" s="86">
        <v>0.5</v>
      </c>
      <c r="CS44" s="86">
        <v>0.5</v>
      </c>
      <c r="CT44" s="86" t="s">
        <v>21</v>
      </c>
      <c r="CU44" s="24" t="s">
        <v>20</v>
      </c>
      <c r="CV44" s="86">
        <v>0.8</v>
      </c>
      <c r="CW44" s="86" t="s">
        <v>4</v>
      </c>
      <c r="CX44" s="86" t="s">
        <v>24</v>
      </c>
      <c r="CY44" s="86">
        <v>4</v>
      </c>
      <c r="CZ44" s="86">
        <f>SUM(CE44:CM44)</f>
        <v>4</v>
      </c>
      <c r="DA44" s="86"/>
      <c r="DB44" s="86">
        <v>4</v>
      </c>
      <c r="DC44" s="86">
        <v>70</v>
      </c>
      <c r="DD44" s="86">
        <v>39</v>
      </c>
      <c r="DE44" s="28">
        <f t="shared" si="1"/>
        <v>942.99999999999989</v>
      </c>
      <c r="DF44" s="28">
        <f t="shared" si="6"/>
        <v>1320.2</v>
      </c>
      <c r="DG44" s="28">
        <f t="shared" si="7"/>
        <v>639.6</v>
      </c>
      <c r="DI44" s="9"/>
      <c r="DJ44" s="9"/>
      <c r="DK44" s="9">
        <v>6</v>
      </c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61"/>
      <c r="EA44" s="61" t="s">
        <v>142</v>
      </c>
    </row>
    <row r="45" spans="1:131" s="56" customFormat="1" ht="15" customHeight="1" x14ac:dyDescent="0.35">
      <c r="A45" s="271"/>
      <c r="B45" s="275"/>
      <c r="C45" s="95"/>
      <c r="D45" s="95"/>
      <c r="E45" s="95"/>
      <c r="F45" s="95"/>
      <c r="G45" s="95"/>
      <c r="H45" s="86"/>
      <c r="I45" s="24" t="s">
        <v>20</v>
      </c>
      <c r="J45" s="86">
        <v>0.8</v>
      </c>
      <c r="K45" s="95"/>
      <c r="L45" s="215"/>
      <c r="M45" s="239"/>
      <c r="N45" s="95" t="s">
        <v>181</v>
      </c>
      <c r="O45" s="218">
        <v>2</v>
      </c>
      <c r="P45" s="217" t="s">
        <v>184</v>
      </c>
      <c r="Q45" s="86">
        <v>5</v>
      </c>
      <c r="R45" s="86">
        <v>72</v>
      </c>
      <c r="S45" s="86"/>
      <c r="T45" s="86"/>
      <c r="U45" s="86"/>
      <c r="V45" s="86"/>
      <c r="W45" s="86"/>
      <c r="X45" s="218"/>
      <c r="Y45" s="84"/>
      <c r="Z45" s="86"/>
      <c r="AA45" s="86"/>
      <c r="AB45" s="86"/>
      <c r="AC45" s="86"/>
      <c r="AD45" s="86"/>
      <c r="AE45" s="86"/>
      <c r="AF45" s="86"/>
      <c r="AG45" s="218"/>
      <c r="AH45" s="79"/>
      <c r="AI45" s="20">
        <f t="shared" si="8"/>
        <v>0</v>
      </c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>
        <v>4</v>
      </c>
      <c r="CE45" s="57">
        <v>4</v>
      </c>
      <c r="CF45" s="58"/>
      <c r="CG45" s="86"/>
      <c r="CH45" s="86"/>
      <c r="CI45" s="86"/>
      <c r="CJ45" s="86"/>
      <c r="CK45" s="86"/>
      <c r="CL45" s="86"/>
      <c r="CM45" s="20"/>
      <c r="CN45" s="86">
        <v>170</v>
      </c>
      <c r="CO45" s="86">
        <v>38</v>
      </c>
      <c r="CP45" s="86">
        <v>8</v>
      </c>
      <c r="CQ45" s="86">
        <v>7</v>
      </c>
      <c r="CR45" s="86">
        <v>0.5</v>
      </c>
      <c r="CS45" s="86">
        <v>0.5</v>
      </c>
      <c r="CT45" s="86" t="s">
        <v>21</v>
      </c>
      <c r="CU45" s="24" t="s">
        <v>20</v>
      </c>
      <c r="CV45" s="86">
        <v>0.8</v>
      </c>
      <c r="CW45" s="86" t="s">
        <v>4</v>
      </c>
      <c r="CX45" s="86" t="s">
        <v>24</v>
      </c>
      <c r="CY45" s="86">
        <v>4</v>
      </c>
      <c r="CZ45" s="86">
        <f>SUM(CE45:CM45)</f>
        <v>4</v>
      </c>
      <c r="DA45" s="86"/>
      <c r="DB45" s="86">
        <v>4</v>
      </c>
      <c r="DC45" s="86">
        <v>70</v>
      </c>
      <c r="DD45" s="86">
        <v>30</v>
      </c>
      <c r="DE45" s="28">
        <f t="shared" si="1"/>
        <v>942.99999999999989</v>
      </c>
      <c r="DF45" s="28">
        <f t="shared" si="6"/>
        <v>1320.2</v>
      </c>
      <c r="DG45" s="28">
        <f t="shared" si="7"/>
        <v>492</v>
      </c>
      <c r="DI45" s="37"/>
      <c r="DJ45" s="37"/>
      <c r="DK45" s="37"/>
      <c r="DL45" s="37"/>
      <c r="DM45" s="37"/>
      <c r="DN45" s="37"/>
      <c r="DO45" s="37"/>
      <c r="DP45" s="37"/>
      <c r="DQ45" s="37"/>
      <c r="DR45" s="37">
        <v>12</v>
      </c>
      <c r="DS45" s="37"/>
      <c r="DT45" s="37"/>
      <c r="DU45" s="37"/>
      <c r="DV45" s="37"/>
      <c r="DW45" s="37"/>
      <c r="DX45" s="37"/>
      <c r="DY45" s="37"/>
      <c r="DZ45" s="62" t="s">
        <v>125</v>
      </c>
      <c r="EA45" s="62"/>
    </row>
    <row r="46" spans="1:131" s="56" customFormat="1" ht="15" customHeight="1" x14ac:dyDescent="0.35">
      <c r="A46" s="272"/>
      <c r="B46" s="276"/>
      <c r="C46" s="95"/>
      <c r="D46" s="95"/>
      <c r="E46" s="95"/>
      <c r="F46" s="95"/>
      <c r="G46" s="95"/>
      <c r="H46" s="86" t="s">
        <v>21</v>
      </c>
      <c r="I46" s="24" t="s">
        <v>20</v>
      </c>
      <c r="J46" s="86">
        <v>0.8</v>
      </c>
      <c r="K46" s="95"/>
      <c r="L46" s="215"/>
      <c r="M46" s="239"/>
      <c r="N46" s="95" t="s">
        <v>180</v>
      </c>
      <c r="O46" s="218">
        <v>5</v>
      </c>
      <c r="P46" s="217" t="s">
        <v>182</v>
      </c>
      <c r="Q46" s="86">
        <v>2</v>
      </c>
      <c r="R46" s="86">
        <v>125</v>
      </c>
      <c r="S46" s="86"/>
      <c r="T46" s="86"/>
      <c r="U46" s="86"/>
      <c r="V46" s="86"/>
      <c r="W46" s="86"/>
      <c r="X46" s="218"/>
      <c r="Y46" s="84"/>
      <c r="Z46" s="86"/>
      <c r="AA46" s="86"/>
      <c r="AB46" s="86"/>
      <c r="AC46" s="86"/>
      <c r="AD46" s="86"/>
      <c r="AE46" s="86"/>
      <c r="AF46" s="86"/>
      <c r="AG46" s="218"/>
      <c r="AH46" s="79"/>
      <c r="AI46" s="20">
        <f t="shared" si="8"/>
        <v>0</v>
      </c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>
        <v>8</v>
      </c>
      <c r="CE46" s="57">
        <v>8</v>
      </c>
      <c r="CF46" s="58"/>
      <c r="CG46" s="86"/>
      <c r="CH46" s="86"/>
      <c r="CI46" s="86"/>
      <c r="CJ46" s="86"/>
      <c r="CK46" s="86"/>
      <c r="CL46" s="86"/>
      <c r="CM46" s="20"/>
      <c r="CN46" s="86">
        <v>170</v>
      </c>
      <c r="CO46" s="86">
        <v>40</v>
      </c>
      <c r="CP46" s="86">
        <v>8</v>
      </c>
      <c r="CQ46" s="86">
        <v>7</v>
      </c>
      <c r="CR46" s="86">
        <v>0.5</v>
      </c>
      <c r="CS46" s="86">
        <v>0.5</v>
      </c>
      <c r="CT46" s="86" t="s">
        <v>21</v>
      </c>
      <c r="CU46" s="24" t="s">
        <v>20</v>
      </c>
      <c r="CV46" s="86">
        <v>0.8</v>
      </c>
      <c r="CW46" s="86" t="s">
        <v>4</v>
      </c>
      <c r="CX46" s="86" t="s">
        <v>24</v>
      </c>
      <c r="CY46" s="86">
        <v>8</v>
      </c>
      <c r="CZ46" s="86">
        <f>SUM(CE46:CM46)</f>
        <v>8</v>
      </c>
      <c r="DA46" s="86"/>
      <c r="DB46" s="86">
        <v>8</v>
      </c>
      <c r="DC46" s="86">
        <v>70</v>
      </c>
      <c r="DD46" s="86">
        <v>39</v>
      </c>
      <c r="DE46" s="28">
        <f t="shared" si="1"/>
        <v>1885.9999999999998</v>
      </c>
      <c r="DF46" s="28">
        <f t="shared" si="6"/>
        <v>2640.4</v>
      </c>
      <c r="DG46" s="28">
        <f t="shared" si="7"/>
        <v>1279.2</v>
      </c>
      <c r="DI46" s="37"/>
      <c r="DJ46" s="37"/>
      <c r="DK46" s="37"/>
      <c r="DL46" s="37">
        <v>21</v>
      </c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62" t="s">
        <v>99</v>
      </c>
      <c r="EA46" s="62"/>
    </row>
    <row r="47" spans="1:131" s="56" customFormat="1" ht="15.5" x14ac:dyDescent="0.35">
      <c r="A47" s="57">
        <v>6</v>
      </c>
      <c r="B47" s="175" t="s">
        <v>169</v>
      </c>
      <c r="C47" s="95">
        <v>170</v>
      </c>
      <c r="D47" s="60">
        <v>35</v>
      </c>
      <c r="E47" s="95">
        <v>8</v>
      </c>
      <c r="F47" s="95">
        <v>6</v>
      </c>
      <c r="G47" s="95">
        <v>0.5</v>
      </c>
      <c r="H47" s="86"/>
      <c r="I47" s="24" t="s">
        <v>20</v>
      </c>
      <c r="J47" s="86">
        <v>0.8</v>
      </c>
      <c r="K47" s="95" t="s">
        <v>4</v>
      </c>
      <c r="L47" s="215" t="s">
        <v>24</v>
      </c>
      <c r="M47" s="239">
        <v>5</v>
      </c>
      <c r="N47" s="95" t="s">
        <v>180</v>
      </c>
      <c r="O47" s="218">
        <v>2</v>
      </c>
      <c r="P47" s="217" t="s">
        <v>182</v>
      </c>
      <c r="Q47" s="86">
        <v>5</v>
      </c>
      <c r="R47" s="86">
        <v>125</v>
      </c>
      <c r="S47" s="86">
        <v>0.32</v>
      </c>
      <c r="T47" s="86">
        <v>0.35</v>
      </c>
      <c r="U47" s="86">
        <v>0.37</v>
      </c>
      <c r="V47" s="86">
        <v>6</v>
      </c>
      <c r="W47" s="86">
        <v>0.61099999999999999</v>
      </c>
      <c r="X47" s="218" t="s">
        <v>76</v>
      </c>
      <c r="Y47" s="84" t="s">
        <v>40</v>
      </c>
      <c r="Z47" s="86">
        <v>5</v>
      </c>
      <c r="AA47" s="86">
        <v>28</v>
      </c>
      <c r="AB47" s="86">
        <v>0.39</v>
      </c>
      <c r="AC47" s="86">
        <v>0.46</v>
      </c>
      <c r="AD47" s="86">
        <v>0.4</v>
      </c>
      <c r="AE47" s="86">
        <v>17</v>
      </c>
      <c r="AF47" s="86">
        <v>0.42</v>
      </c>
      <c r="AG47" s="218" t="s">
        <v>24</v>
      </c>
      <c r="AH47" s="79"/>
      <c r="AI47" s="20">
        <f t="shared" si="8"/>
        <v>1020</v>
      </c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>
        <v>4</v>
      </c>
      <c r="CE47" s="57">
        <v>4</v>
      </c>
      <c r="CF47" s="58"/>
      <c r="CG47" s="86"/>
      <c r="CH47" s="86"/>
      <c r="CI47" s="86"/>
      <c r="CJ47" s="86"/>
      <c r="CK47" s="86"/>
      <c r="CL47" s="86"/>
      <c r="CM47" s="20"/>
      <c r="CN47" s="86">
        <v>145</v>
      </c>
      <c r="CO47" s="86">
        <v>40</v>
      </c>
      <c r="CP47" s="86">
        <v>8</v>
      </c>
      <c r="CQ47" s="86">
        <v>7</v>
      </c>
      <c r="CR47" s="86">
        <v>0.5</v>
      </c>
      <c r="CS47" s="86">
        <v>0.5</v>
      </c>
      <c r="CT47" s="86" t="s">
        <v>21</v>
      </c>
      <c r="CU47" s="24" t="s">
        <v>20</v>
      </c>
      <c r="CV47" s="86">
        <v>0.8</v>
      </c>
      <c r="CW47" s="86" t="s">
        <v>4</v>
      </c>
      <c r="CX47" s="86" t="s">
        <v>24</v>
      </c>
      <c r="CY47" s="86">
        <v>4</v>
      </c>
      <c r="CZ47" s="86">
        <f>SUM(CE47:CM47)</f>
        <v>4</v>
      </c>
      <c r="DA47" s="86"/>
      <c r="DB47" s="86">
        <v>4</v>
      </c>
      <c r="DC47" s="86">
        <v>70</v>
      </c>
      <c r="DD47" s="86">
        <v>39</v>
      </c>
      <c r="DE47" s="28">
        <f t="shared" si="1"/>
        <v>942.99999999999989</v>
      </c>
      <c r="DF47" s="28">
        <f t="shared" si="6"/>
        <v>1320.2</v>
      </c>
      <c r="DG47" s="28">
        <f t="shared" si="7"/>
        <v>639.6</v>
      </c>
      <c r="DI47" s="37"/>
      <c r="DJ47" s="37"/>
      <c r="DK47" s="37"/>
      <c r="DL47" s="37"/>
      <c r="DM47" s="37"/>
      <c r="DN47" s="37"/>
      <c r="DO47" s="37"/>
      <c r="DP47" s="37"/>
      <c r="DQ47" s="37"/>
      <c r="DR47" s="37">
        <v>22</v>
      </c>
      <c r="DS47" s="37"/>
      <c r="DT47" s="37"/>
      <c r="DU47" s="37"/>
      <c r="DV47" s="37"/>
      <c r="DW47" s="37"/>
      <c r="DX47" s="37"/>
      <c r="DY47" s="37"/>
      <c r="DZ47" s="62" t="s">
        <v>126</v>
      </c>
      <c r="EA47" s="62"/>
    </row>
    <row r="48" spans="1:131" s="56" customFormat="1" ht="15.5" x14ac:dyDescent="0.35">
      <c r="A48" s="57">
        <v>7</v>
      </c>
      <c r="B48" s="175" t="s">
        <v>170</v>
      </c>
      <c r="C48" s="95">
        <v>150</v>
      </c>
      <c r="D48" s="60">
        <v>35</v>
      </c>
      <c r="E48" s="95">
        <v>8</v>
      </c>
      <c r="F48" s="95">
        <v>6</v>
      </c>
      <c r="G48" s="95">
        <v>0.5</v>
      </c>
      <c r="H48" s="86"/>
      <c r="I48" s="24" t="s">
        <v>20</v>
      </c>
      <c r="J48" s="86">
        <v>0.8</v>
      </c>
      <c r="K48" s="95" t="s">
        <v>4</v>
      </c>
      <c r="L48" s="215" t="s">
        <v>24</v>
      </c>
      <c r="M48" s="239">
        <v>4</v>
      </c>
      <c r="N48" s="95" t="s">
        <v>180</v>
      </c>
      <c r="O48" s="218">
        <v>1</v>
      </c>
      <c r="P48" s="217" t="s">
        <v>182</v>
      </c>
      <c r="Q48" s="86">
        <v>4</v>
      </c>
      <c r="R48" s="86">
        <v>125</v>
      </c>
      <c r="S48" s="86">
        <v>0.32</v>
      </c>
      <c r="T48" s="86">
        <v>0.35</v>
      </c>
      <c r="U48" s="86">
        <v>0.37</v>
      </c>
      <c r="V48" s="86">
        <v>6</v>
      </c>
      <c r="W48" s="86">
        <v>0.61</v>
      </c>
      <c r="X48" s="218" t="s">
        <v>76</v>
      </c>
      <c r="Y48" s="84" t="s">
        <v>40</v>
      </c>
      <c r="Z48" s="86">
        <v>4</v>
      </c>
      <c r="AA48" s="86">
        <v>28</v>
      </c>
      <c r="AB48" s="86">
        <v>0.39</v>
      </c>
      <c r="AC48" s="86">
        <v>0.46</v>
      </c>
      <c r="AD48" s="86">
        <v>0.4</v>
      </c>
      <c r="AE48" s="86">
        <v>17</v>
      </c>
      <c r="AF48" s="86">
        <v>0.42</v>
      </c>
      <c r="AG48" s="218" t="s">
        <v>24</v>
      </c>
      <c r="AH48" s="79"/>
      <c r="AI48" s="20">
        <f t="shared" si="8"/>
        <v>900</v>
      </c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>
        <v>10</v>
      </c>
      <c r="CE48" s="57">
        <v>1</v>
      </c>
      <c r="CF48" s="58"/>
      <c r="CG48" s="86"/>
      <c r="CH48" s="86"/>
      <c r="CI48" s="86"/>
      <c r="CJ48" s="86">
        <v>9</v>
      </c>
      <c r="CK48" s="86"/>
      <c r="CL48" s="86"/>
      <c r="CM48" s="20"/>
      <c r="CN48" s="86">
        <v>584</v>
      </c>
      <c r="CO48" s="86">
        <v>40</v>
      </c>
      <c r="CP48" s="86">
        <v>8</v>
      </c>
      <c r="CQ48" s="86">
        <v>7</v>
      </c>
      <c r="CR48" s="86">
        <v>1</v>
      </c>
      <c r="CS48" s="86">
        <v>1</v>
      </c>
      <c r="CT48" s="86" t="s">
        <v>21</v>
      </c>
      <c r="CU48" s="24" t="s">
        <v>20</v>
      </c>
      <c r="CV48" s="86">
        <v>0.8</v>
      </c>
      <c r="CW48" s="86" t="s">
        <v>4</v>
      </c>
      <c r="CX48" s="86" t="s">
        <v>22</v>
      </c>
      <c r="CY48" s="86">
        <v>10</v>
      </c>
      <c r="CZ48" s="86">
        <f>SUM(CE48:CM48)</f>
        <v>10</v>
      </c>
      <c r="DA48" s="86"/>
      <c r="DB48" s="86">
        <v>17</v>
      </c>
      <c r="DC48" s="86">
        <v>70</v>
      </c>
      <c r="DD48" s="86">
        <v>55</v>
      </c>
      <c r="DE48" s="28">
        <f t="shared" si="1"/>
        <v>3206.1999999999994</v>
      </c>
      <c r="DF48" s="28">
        <f t="shared" si="6"/>
        <v>5610.85</v>
      </c>
      <c r="DG48" s="28">
        <f t="shared" si="7"/>
        <v>3833.5</v>
      </c>
      <c r="DI48" s="37"/>
      <c r="DJ48" s="37"/>
      <c r="DK48" s="37"/>
      <c r="DL48" s="37"/>
      <c r="DM48" s="37"/>
      <c r="DN48" s="37"/>
      <c r="DO48" s="37"/>
      <c r="DP48" s="37">
        <v>38</v>
      </c>
      <c r="DQ48" s="37"/>
      <c r="DR48" s="37"/>
      <c r="DS48" s="37"/>
      <c r="DT48" s="37"/>
      <c r="DU48" s="37"/>
      <c r="DV48" s="37"/>
      <c r="DW48" s="37"/>
      <c r="DX48" s="37"/>
      <c r="DY48" s="37"/>
      <c r="DZ48" s="62" t="s">
        <v>127</v>
      </c>
      <c r="EA48" s="62"/>
    </row>
    <row r="49" spans="1:131" s="56" customFormat="1" ht="15.5" x14ac:dyDescent="0.35">
      <c r="A49" s="57">
        <v>8</v>
      </c>
      <c r="B49" s="175" t="s">
        <v>171</v>
      </c>
      <c r="C49" s="95">
        <v>90</v>
      </c>
      <c r="D49" s="60">
        <v>35</v>
      </c>
      <c r="E49" s="95">
        <v>8</v>
      </c>
      <c r="F49" s="95">
        <v>5</v>
      </c>
      <c r="G49" s="95">
        <v>0.5</v>
      </c>
      <c r="H49" s="86" t="s">
        <v>21</v>
      </c>
      <c r="I49" s="24" t="s">
        <v>20</v>
      </c>
      <c r="J49" s="86">
        <v>0.8</v>
      </c>
      <c r="K49" s="95" t="s">
        <v>4</v>
      </c>
      <c r="L49" s="215" t="s">
        <v>24</v>
      </c>
      <c r="M49" s="239">
        <v>3</v>
      </c>
      <c r="N49" s="95" t="s">
        <v>181</v>
      </c>
      <c r="O49" s="218">
        <v>1</v>
      </c>
      <c r="P49" s="217" t="s">
        <v>184</v>
      </c>
      <c r="Q49" s="86">
        <v>3</v>
      </c>
      <c r="R49" s="86">
        <v>72</v>
      </c>
      <c r="S49" s="86">
        <v>0.33</v>
      </c>
      <c r="T49" s="86">
        <v>0.44</v>
      </c>
      <c r="U49" s="86">
        <v>0.57999999999999996</v>
      </c>
      <c r="V49" s="86">
        <v>18</v>
      </c>
      <c r="W49" s="86">
        <v>0.5</v>
      </c>
      <c r="X49" s="218" t="s">
        <v>24</v>
      </c>
      <c r="Y49" s="84" t="s">
        <v>40</v>
      </c>
      <c r="Z49" s="86">
        <v>3</v>
      </c>
      <c r="AA49" s="86">
        <v>20</v>
      </c>
      <c r="AB49" s="86">
        <v>0.33</v>
      </c>
      <c r="AC49" s="86">
        <v>0.56000000000000005</v>
      </c>
      <c r="AD49" s="86">
        <v>0.51</v>
      </c>
      <c r="AE49" s="86">
        <v>14</v>
      </c>
      <c r="AF49" s="86">
        <v>0.35</v>
      </c>
      <c r="AG49" s="218" t="s">
        <v>24</v>
      </c>
      <c r="AH49" s="79"/>
      <c r="AI49" s="20">
        <f t="shared" si="8"/>
        <v>450</v>
      </c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57"/>
      <c r="CF49" s="58"/>
      <c r="CG49" s="86"/>
      <c r="CH49" s="86"/>
      <c r="CI49" s="86"/>
      <c r="CJ49" s="86"/>
      <c r="CK49" s="86"/>
      <c r="CL49" s="86"/>
      <c r="CM49" s="20"/>
      <c r="CN49" s="86"/>
      <c r="CO49" s="86"/>
      <c r="CP49" s="86"/>
      <c r="CQ49" s="86"/>
      <c r="CR49" s="86"/>
      <c r="CS49" s="86"/>
      <c r="CT49" s="86"/>
      <c r="CU49" s="24"/>
      <c r="CV49" s="86"/>
      <c r="CW49" s="86"/>
      <c r="CX49" s="86"/>
      <c r="CY49" s="86"/>
      <c r="CZ49" s="86"/>
      <c r="DA49" s="86"/>
      <c r="DB49" s="86"/>
      <c r="DC49" s="86"/>
      <c r="DD49" s="86"/>
      <c r="DE49" s="28"/>
      <c r="DF49" s="28"/>
      <c r="DG49" s="28"/>
      <c r="DI49" s="37">
        <v>10</v>
      </c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  <c r="DW49" s="37"/>
      <c r="DX49" s="37"/>
      <c r="DY49" s="37"/>
      <c r="DZ49" s="62" t="s">
        <v>128</v>
      </c>
      <c r="EA49" s="62"/>
    </row>
    <row r="50" spans="1:131" s="56" customFormat="1" ht="15.5" x14ac:dyDescent="0.35">
      <c r="A50" s="57">
        <v>9</v>
      </c>
      <c r="B50" s="178" t="s">
        <v>172</v>
      </c>
      <c r="C50" s="95">
        <v>350</v>
      </c>
      <c r="D50" s="60">
        <v>35</v>
      </c>
      <c r="E50" s="95">
        <v>8</v>
      </c>
      <c r="F50" s="95">
        <v>7</v>
      </c>
      <c r="G50" s="95">
        <v>0.5</v>
      </c>
      <c r="H50" s="86"/>
      <c r="I50" s="24" t="s">
        <v>20</v>
      </c>
      <c r="J50" s="86">
        <v>0.8</v>
      </c>
      <c r="K50" s="95" t="s">
        <v>4</v>
      </c>
      <c r="L50" s="215" t="s">
        <v>24</v>
      </c>
      <c r="M50" s="239">
        <v>5</v>
      </c>
      <c r="N50" s="95" t="s">
        <v>179</v>
      </c>
      <c r="O50" s="218">
        <v>2</v>
      </c>
      <c r="P50" s="217" t="s">
        <v>41</v>
      </c>
      <c r="Q50" s="86">
        <v>11</v>
      </c>
      <c r="R50" s="86">
        <v>150</v>
      </c>
      <c r="S50" s="86">
        <v>1.01</v>
      </c>
      <c r="T50" s="86">
        <v>0.38</v>
      </c>
      <c r="U50" s="86">
        <v>0.42</v>
      </c>
      <c r="V50" s="86">
        <v>11</v>
      </c>
      <c r="W50" s="86">
        <v>0.52</v>
      </c>
      <c r="X50" s="218" t="s">
        <v>24</v>
      </c>
      <c r="Y50" s="84" t="s">
        <v>40</v>
      </c>
      <c r="Z50" s="3">
        <v>11</v>
      </c>
      <c r="AA50" s="86">
        <v>28</v>
      </c>
      <c r="AB50" s="86">
        <v>0.36</v>
      </c>
      <c r="AC50" s="86">
        <v>0.39</v>
      </c>
      <c r="AD50" s="86">
        <v>0.44</v>
      </c>
      <c r="AE50" s="86">
        <v>19</v>
      </c>
      <c r="AF50" s="86">
        <v>0.33</v>
      </c>
      <c r="AG50" s="218" t="s">
        <v>24</v>
      </c>
      <c r="AH50" s="79"/>
      <c r="AI50" s="20">
        <f t="shared" si="8"/>
        <v>2450</v>
      </c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>
        <v>10</v>
      </c>
      <c r="CE50" s="57"/>
      <c r="CF50" s="58"/>
      <c r="CG50" s="86"/>
      <c r="CH50" s="86"/>
      <c r="CI50" s="86"/>
      <c r="CJ50" s="86"/>
      <c r="CK50" s="86"/>
      <c r="CL50" s="86"/>
      <c r="CM50" s="20">
        <v>10</v>
      </c>
      <c r="CN50" s="86"/>
      <c r="CO50" s="86"/>
      <c r="CP50" s="86">
        <v>3</v>
      </c>
      <c r="CQ50" s="86"/>
      <c r="CR50" s="86">
        <v>2</v>
      </c>
      <c r="CS50" s="86">
        <v>0.5</v>
      </c>
      <c r="CT50" s="86" t="s">
        <v>21</v>
      </c>
      <c r="CU50" s="24" t="s">
        <v>20</v>
      </c>
      <c r="CV50" s="86">
        <v>0.8</v>
      </c>
      <c r="CW50" s="86" t="s">
        <v>4</v>
      </c>
      <c r="CX50" s="86" t="s">
        <v>26</v>
      </c>
      <c r="CY50" s="86">
        <v>10</v>
      </c>
      <c r="CZ50" s="86">
        <v>10</v>
      </c>
      <c r="DA50" s="86"/>
      <c r="DB50" s="86">
        <v>10</v>
      </c>
      <c r="DC50" s="86">
        <v>70</v>
      </c>
      <c r="DD50" s="86">
        <v>40</v>
      </c>
      <c r="DE50" s="28">
        <f>((CE50*50+CF50*250+CG50*100+CH50*250+CI50*100+CJ50*70+CL50*125+CM50*125)*1.15+CK50*70)*4100/1000</f>
        <v>5893.75</v>
      </c>
      <c r="DF50" s="28">
        <f>DC50*DB50*1.15*4100/1000</f>
        <v>3300.4999999999995</v>
      </c>
      <c r="DG50" s="28">
        <f>DB50*DD50*4100/1000</f>
        <v>1640</v>
      </c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>
        <v>15</v>
      </c>
      <c r="DT50" s="9"/>
      <c r="DU50" s="9"/>
      <c r="DV50" s="9"/>
      <c r="DW50" s="9"/>
      <c r="DX50" s="9"/>
      <c r="DY50" s="9"/>
      <c r="DZ50" s="88" t="s">
        <v>129</v>
      </c>
      <c r="EA50" s="88"/>
    </row>
    <row r="51" spans="1:131" s="56" customFormat="1" ht="15" customHeight="1" x14ac:dyDescent="0.35">
      <c r="A51" s="270">
        <v>10</v>
      </c>
      <c r="B51" s="265" t="s">
        <v>173</v>
      </c>
      <c r="C51" s="95">
        <v>320</v>
      </c>
      <c r="D51" s="60">
        <v>35</v>
      </c>
      <c r="E51" s="95">
        <v>8</v>
      </c>
      <c r="F51" s="95">
        <v>6</v>
      </c>
      <c r="G51" s="95">
        <v>0.5</v>
      </c>
      <c r="H51" s="86"/>
      <c r="I51" s="24" t="s">
        <v>20</v>
      </c>
      <c r="J51" s="86">
        <v>0.8</v>
      </c>
      <c r="K51" s="95" t="s">
        <v>4</v>
      </c>
      <c r="L51" s="215" t="s">
        <v>24</v>
      </c>
      <c r="M51" s="239">
        <v>7</v>
      </c>
      <c r="N51" s="95" t="s">
        <v>180</v>
      </c>
      <c r="O51" s="218">
        <v>2</v>
      </c>
      <c r="P51" s="217" t="s">
        <v>182</v>
      </c>
      <c r="Q51" s="86">
        <v>5</v>
      </c>
      <c r="R51" s="86">
        <v>125</v>
      </c>
      <c r="S51" s="86">
        <v>0.32</v>
      </c>
      <c r="T51" s="86">
        <v>0.35</v>
      </c>
      <c r="U51" s="86">
        <v>0.37</v>
      </c>
      <c r="V51" s="86">
        <v>6</v>
      </c>
      <c r="W51" s="86">
        <v>0.61</v>
      </c>
      <c r="X51" s="218" t="s">
        <v>76</v>
      </c>
      <c r="Y51" s="59" t="s">
        <v>40</v>
      </c>
      <c r="Z51" s="3">
        <v>7</v>
      </c>
      <c r="AA51" s="86">
        <v>28</v>
      </c>
      <c r="AB51" s="86">
        <v>0.39</v>
      </c>
      <c r="AC51" s="86">
        <v>0.46</v>
      </c>
      <c r="AD51" s="86">
        <v>0.4</v>
      </c>
      <c r="AE51" s="86">
        <v>17</v>
      </c>
      <c r="AF51" s="86">
        <v>0.42</v>
      </c>
      <c r="AG51" s="218" t="s">
        <v>24</v>
      </c>
      <c r="AH51" s="79"/>
      <c r="AI51" s="20">
        <f t="shared" si="8"/>
        <v>1920</v>
      </c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>
        <v>7</v>
      </c>
      <c r="CE51" s="57"/>
      <c r="CF51" s="58"/>
      <c r="CG51" s="86"/>
      <c r="CH51" s="86"/>
      <c r="CI51" s="86"/>
      <c r="CJ51" s="86">
        <v>7</v>
      </c>
      <c r="CK51" s="86"/>
      <c r="CL51" s="86"/>
      <c r="CM51" s="20"/>
      <c r="CN51" s="86">
        <v>288</v>
      </c>
      <c r="CO51" s="86">
        <v>40</v>
      </c>
      <c r="CP51" s="86">
        <v>8</v>
      </c>
      <c r="CQ51" s="86">
        <v>7</v>
      </c>
      <c r="CR51" s="86">
        <v>2.5</v>
      </c>
      <c r="CS51" s="86">
        <v>2.5</v>
      </c>
      <c r="CT51" s="86" t="s">
        <v>21</v>
      </c>
      <c r="CU51" s="24" t="s">
        <v>20</v>
      </c>
      <c r="CV51" s="86">
        <v>0.8</v>
      </c>
      <c r="CW51" s="86" t="s">
        <v>4</v>
      </c>
      <c r="CX51" s="86" t="s">
        <v>22</v>
      </c>
      <c r="CY51" s="86">
        <v>7</v>
      </c>
      <c r="CZ51" s="86">
        <f>SUM(CE51:CM51)</f>
        <v>7</v>
      </c>
      <c r="DA51" s="86"/>
      <c r="DB51" s="86">
        <v>7</v>
      </c>
      <c r="DC51" s="86">
        <v>70</v>
      </c>
      <c r="DD51" s="86">
        <v>55</v>
      </c>
      <c r="DE51" s="28">
        <f t="shared" si="1"/>
        <v>2310.35</v>
      </c>
      <c r="DF51" s="28">
        <f t="shared" si="6"/>
        <v>2310.35</v>
      </c>
      <c r="DG51" s="28">
        <f t="shared" si="7"/>
        <v>1578.5</v>
      </c>
      <c r="DI51" s="9"/>
      <c r="DJ51" s="9">
        <v>12</v>
      </c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88" t="s">
        <v>130</v>
      </c>
      <c r="EA51" s="88"/>
    </row>
    <row r="52" spans="1:131" s="56" customFormat="1" ht="15" customHeight="1" thickBot="1" x14ac:dyDescent="0.4">
      <c r="A52" s="273"/>
      <c r="B52" s="266"/>
      <c r="C52" s="235"/>
      <c r="D52" s="236"/>
      <c r="E52" s="235"/>
      <c r="F52" s="235"/>
      <c r="G52" s="235"/>
      <c r="H52" s="91"/>
      <c r="I52" s="89" t="s">
        <v>20</v>
      </c>
      <c r="J52" s="91">
        <v>0.8</v>
      </c>
      <c r="K52" s="235"/>
      <c r="L52" s="237"/>
      <c r="M52" s="240"/>
      <c r="N52" s="235" t="s">
        <v>181</v>
      </c>
      <c r="O52" s="238">
        <v>4</v>
      </c>
      <c r="P52" s="219" t="s">
        <v>184</v>
      </c>
      <c r="Q52" s="91">
        <v>2</v>
      </c>
      <c r="R52" s="91">
        <v>72</v>
      </c>
      <c r="S52" s="91"/>
      <c r="T52" s="91"/>
      <c r="U52" s="91"/>
      <c r="V52" s="91"/>
      <c r="W52" s="91"/>
      <c r="X52" s="90"/>
      <c r="Y52" s="98"/>
      <c r="Z52" s="85"/>
      <c r="AA52" s="91"/>
      <c r="AB52" s="91"/>
      <c r="AC52" s="91"/>
      <c r="AD52" s="91"/>
      <c r="AE52" s="91"/>
      <c r="AF52" s="91"/>
      <c r="AG52" s="238"/>
      <c r="AH52" s="222"/>
      <c r="AI52" s="223"/>
      <c r="AJ52" s="223"/>
      <c r="AK52" s="223"/>
      <c r="AL52" s="223"/>
      <c r="AM52" s="223"/>
      <c r="AN52" s="223"/>
      <c r="AO52" s="223"/>
      <c r="AP52" s="223"/>
      <c r="AQ52" s="223"/>
      <c r="AR52" s="223"/>
      <c r="AS52" s="223"/>
      <c r="AT52" s="223"/>
      <c r="AU52" s="223"/>
      <c r="AV52" s="223"/>
      <c r="AW52" s="223"/>
      <c r="AX52" s="223"/>
      <c r="AY52" s="223"/>
      <c r="AZ52" s="223"/>
      <c r="BA52" s="223"/>
      <c r="BB52" s="223"/>
      <c r="BC52" s="223"/>
      <c r="BD52" s="223"/>
      <c r="BE52" s="223"/>
      <c r="BF52" s="223"/>
      <c r="BG52" s="223"/>
      <c r="BH52" s="223"/>
      <c r="BI52" s="223"/>
      <c r="BJ52" s="223"/>
      <c r="BK52" s="223"/>
      <c r="BL52" s="223"/>
      <c r="BM52" s="223"/>
      <c r="BN52" s="223"/>
      <c r="BO52" s="223"/>
      <c r="BP52" s="223"/>
      <c r="BQ52" s="223"/>
      <c r="BR52" s="223"/>
      <c r="BS52" s="223"/>
      <c r="BT52" s="223"/>
      <c r="BU52" s="223"/>
      <c r="BV52" s="223"/>
      <c r="BW52" s="223"/>
      <c r="BX52" s="223"/>
      <c r="BY52" s="223"/>
      <c r="BZ52" s="223"/>
      <c r="CA52" s="223"/>
      <c r="CB52" s="223"/>
      <c r="CC52" s="223"/>
      <c r="CD52" s="223"/>
      <c r="CE52" s="177"/>
      <c r="CF52" s="224"/>
      <c r="CG52" s="220"/>
      <c r="CH52" s="220"/>
      <c r="CI52" s="220"/>
      <c r="CJ52" s="220"/>
      <c r="CK52" s="220"/>
      <c r="CL52" s="220"/>
      <c r="CM52" s="223"/>
      <c r="CN52" s="220"/>
      <c r="CO52" s="220"/>
      <c r="CP52" s="220"/>
      <c r="CQ52" s="220"/>
      <c r="CR52" s="220"/>
      <c r="CS52" s="220"/>
      <c r="CT52" s="220"/>
      <c r="CU52" s="221"/>
      <c r="CV52" s="220"/>
      <c r="CW52" s="220"/>
      <c r="CX52" s="220"/>
      <c r="CY52" s="220"/>
      <c r="CZ52" s="220"/>
      <c r="DA52" s="220"/>
      <c r="DB52" s="220"/>
      <c r="DC52" s="220"/>
      <c r="DD52" s="220"/>
      <c r="DE52" s="225"/>
      <c r="DF52" s="225"/>
      <c r="DG52" s="225"/>
    </row>
    <row r="53" spans="1:131" s="226" customFormat="1" x14ac:dyDescent="0.35">
      <c r="D53" s="227"/>
      <c r="F53" s="227"/>
      <c r="I53" s="228"/>
      <c r="K53" s="228"/>
      <c r="L53" s="227"/>
      <c r="M53" s="227"/>
      <c r="N53" s="229"/>
      <c r="O53" s="227"/>
      <c r="P53" s="230"/>
      <c r="X53" s="228"/>
      <c r="Y53" s="229"/>
      <c r="Z53" s="227"/>
      <c r="AB53" s="227"/>
      <c r="AC53" s="227"/>
      <c r="AD53" s="227"/>
      <c r="AE53" s="227"/>
      <c r="AF53" s="227"/>
      <c r="AG53" s="227"/>
      <c r="CU53" s="228"/>
      <c r="DE53" s="231"/>
      <c r="DF53" s="231"/>
      <c r="DG53" s="231"/>
    </row>
    <row r="54" spans="1:131" s="226" customFormat="1" x14ac:dyDescent="0.35">
      <c r="D54" s="227"/>
      <c r="F54" s="227"/>
      <c r="I54" s="228"/>
      <c r="K54" s="228"/>
      <c r="L54" s="227"/>
      <c r="M54" s="227"/>
      <c r="N54" s="229"/>
      <c r="O54" s="227"/>
      <c r="P54" s="230"/>
      <c r="X54" s="228"/>
      <c r="Y54" s="229"/>
      <c r="Z54" s="227"/>
      <c r="AB54" s="227"/>
      <c r="AC54" s="227"/>
      <c r="AD54" s="227"/>
      <c r="AE54" s="227"/>
      <c r="AF54" s="227"/>
      <c r="AG54" s="227"/>
      <c r="CU54" s="228"/>
      <c r="DE54" s="231"/>
      <c r="DF54" s="231"/>
      <c r="DG54" s="231"/>
    </row>
    <row r="55" spans="1:131" s="4" customFormat="1" x14ac:dyDescent="0.35">
      <c r="K55" s="92"/>
      <c r="M55" s="4">
        <f>SUM(M6:M51)</f>
        <v>159</v>
      </c>
      <c r="O55" s="4">
        <f>SUM(O6:O52)</f>
        <v>89</v>
      </c>
      <c r="P55" s="56"/>
      <c r="Q55" s="56"/>
      <c r="R55" s="56"/>
      <c r="AA55" s="56"/>
      <c r="AI55" s="4">
        <f>SUM(AI6:AI54)</f>
        <v>45735</v>
      </c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56"/>
      <c r="DT55" s="56"/>
      <c r="DU55" s="56"/>
      <c r="DV55" s="56"/>
      <c r="DW55" s="56"/>
      <c r="DX55" s="56"/>
      <c r="DY55" s="56"/>
      <c r="DZ55" s="56"/>
      <c r="EA55" s="56"/>
    </row>
    <row r="56" spans="1:131" s="4" customFormat="1" x14ac:dyDescent="0.35">
      <c r="K56" s="92"/>
      <c r="P56" s="56">
        <f>75*0.96</f>
        <v>72</v>
      </c>
      <c r="Q56" s="56"/>
      <c r="R56" s="56"/>
      <c r="AA56" s="56"/>
      <c r="AI56" s="99"/>
      <c r="AJ56" s="99"/>
    </row>
    <row r="57" spans="1:131" s="4" customFormat="1" x14ac:dyDescent="0.35">
      <c r="C57" s="4">
        <f>SUM(C6:C56)</f>
        <v>8045</v>
      </c>
      <c r="K57" s="92"/>
      <c r="P57" s="56"/>
      <c r="Q57" s="56"/>
      <c r="R57" s="56"/>
      <c r="AA57" s="56"/>
      <c r="AI57" s="99"/>
      <c r="AJ57" s="99"/>
    </row>
    <row r="58" spans="1:131" s="4" customFormat="1" x14ac:dyDescent="0.35">
      <c r="C58" s="4" t="e">
        <f>('lot 4 FOTO'!D5+'lot 4 FOTO'!#REF!+'lot 4 FOTO'!#REF!+'lot 4 FOTO'!#REF!)*1000</f>
        <v>#REF!</v>
      </c>
      <c r="K58" s="92"/>
      <c r="P58" s="56"/>
      <c r="Q58" s="56"/>
      <c r="R58" s="56"/>
      <c r="AA58" s="56"/>
      <c r="AI58" s="99"/>
      <c r="AJ58" s="99"/>
    </row>
    <row r="59" spans="1:131" s="4" customFormat="1" x14ac:dyDescent="0.35">
      <c r="K59" s="92"/>
      <c r="P59" s="56"/>
      <c r="Q59" s="56"/>
      <c r="R59" s="56"/>
      <c r="AA59" s="56"/>
      <c r="AI59" s="99"/>
      <c r="AJ59" s="99"/>
    </row>
  </sheetData>
  <autoFilter ref="A4:DG54"/>
  <mergeCells count="36">
    <mergeCell ref="A2:AG2"/>
    <mergeCell ref="A3:L3"/>
    <mergeCell ref="B9:B10"/>
    <mergeCell ref="B11:B12"/>
    <mergeCell ref="B14:B15"/>
    <mergeCell ref="B37:B39"/>
    <mergeCell ref="B40:B41"/>
    <mergeCell ref="B42:B43"/>
    <mergeCell ref="B44:B46"/>
    <mergeCell ref="CE3:CM3"/>
    <mergeCell ref="Y3:AG3"/>
    <mergeCell ref="P3:X3"/>
    <mergeCell ref="M3:O3"/>
    <mergeCell ref="B16:B17"/>
    <mergeCell ref="B19:B21"/>
    <mergeCell ref="B22:B23"/>
    <mergeCell ref="B24:B25"/>
    <mergeCell ref="B27:B28"/>
    <mergeCell ref="A5:AG5"/>
    <mergeCell ref="A34:AG34"/>
    <mergeCell ref="B51:B52"/>
    <mergeCell ref="A9:A10"/>
    <mergeCell ref="A11:A12"/>
    <mergeCell ref="A14:A15"/>
    <mergeCell ref="A16:A17"/>
    <mergeCell ref="A19:A21"/>
    <mergeCell ref="A22:A23"/>
    <mergeCell ref="A27:A28"/>
    <mergeCell ref="A31:A33"/>
    <mergeCell ref="A24:A25"/>
    <mergeCell ref="A37:A39"/>
    <mergeCell ref="A40:A41"/>
    <mergeCell ref="A42:A43"/>
    <mergeCell ref="A44:A46"/>
    <mergeCell ref="A51:A52"/>
    <mergeCell ref="B31:B33"/>
  </mergeCells>
  <pageMargins left="0.23622047244094491" right="0.23622047244094491" top="0.74803149606299213" bottom="0.74803149606299213" header="0.31496062992125984" footer="0.31496062992125984"/>
  <pageSetup paperSize="8" scale="67" fitToHeight="0" orientation="landscape" r:id="rId1"/>
  <ignoredErrors>
    <ignoredError sqref="CZ6 CZ8 CZ10 CZ12 CZ26:CZ27 CZ30 CZ32 CZ36 CZ38 CZ40:CZ42 CZ44:CZ48 CZ51 CZ15:CZ2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"/>
  <sheetViews>
    <sheetView topLeftCell="R1" zoomScaleNormal="100" zoomScaleSheetLayoutView="100" workbookViewId="0">
      <selection activeCell="AD6" sqref="AD6"/>
    </sheetView>
  </sheetViews>
  <sheetFormatPr defaultRowHeight="14.5" x14ac:dyDescent="0.35"/>
  <cols>
    <col min="1" max="1" width="4.453125" style="10" customWidth="1"/>
    <col min="2" max="2" width="16.81640625" style="10" customWidth="1"/>
    <col min="3" max="3" width="9" style="10" customWidth="1"/>
    <col min="4" max="4" width="8.7265625" style="10" customWidth="1"/>
    <col min="5" max="5" width="9.1796875" style="10" customWidth="1"/>
    <col min="6" max="7" width="8.7265625" style="10" customWidth="1"/>
    <col min="8" max="8" width="7.54296875" style="10" customWidth="1"/>
    <col min="9" max="10" width="8.7265625" style="10" customWidth="1"/>
    <col min="11" max="11" width="18" style="10" customWidth="1"/>
    <col min="12" max="12" width="9.7265625" style="10" customWidth="1"/>
    <col min="13" max="13" width="13.26953125" style="10" customWidth="1"/>
    <col min="14" max="14" width="9.1796875" style="10" customWidth="1"/>
    <col min="15" max="15" width="5.54296875" style="10" customWidth="1"/>
    <col min="16" max="16" width="16.453125" style="10" customWidth="1"/>
    <col min="17" max="17" width="4.81640625" style="10" customWidth="1"/>
    <col min="18" max="18" width="6.81640625" style="10" customWidth="1"/>
    <col min="19" max="19" width="5.54296875" style="10" customWidth="1"/>
    <col min="20" max="20" width="7.453125" style="10" customWidth="1"/>
    <col min="21" max="21" width="8.1796875" style="10" customWidth="1"/>
    <col min="22" max="23" width="4.81640625" style="10" customWidth="1"/>
    <col min="24" max="24" width="4.7265625" style="10" customWidth="1"/>
    <col min="25" max="25" width="5.54296875" style="10" customWidth="1"/>
    <col min="26" max="26" width="9.1796875" style="10" customWidth="1"/>
    <col min="27" max="27" width="8.7265625" style="10" customWidth="1"/>
    <col min="28" max="28" width="5.453125" style="10" customWidth="1"/>
    <col min="29" max="29" width="6.54296875" style="10" customWidth="1"/>
    <col min="30" max="30" width="7.54296875" style="10" customWidth="1"/>
    <col min="31" max="31" width="4.81640625" style="10" customWidth="1"/>
    <col min="32" max="32" width="5.26953125" style="10" customWidth="1"/>
    <col min="33" max="33" width="3.81640625" style="10" customWidth="1"/>
    <col min="34" max="34" width="4.7265625" style="10" bestFit="1" customWidth="1"/>
    <col min="35" max="35" width="8.26953125" style="10" customWidth="1"/>
    <col min="36" max="36" width="8.7265625" style="10" customWidth="1"/>
    <col min="37" max="37" width="9.453125" style="10" bestFit="1" customWidth="1"/>
    <col min="38" max="16384" width="8.7265625" style="10"/>
  </cols>
  <sheetData>
    <row r="1" spans="1:37" s="4" customFormat="1" ht="15" thickBot="1" x14ac:dyDescent="0.4">
      <c r="B1" s="92"/>
      <c r="C1" s="92"/>
    </row>
    <row r="2" spans="1:37" s="182" customFormat="1" ht="24" thickBot="1" x14ac:dyDescent="0.4">
      <c r="A2" s="296" t="s">
        <v>215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8"/>
      <c r="P2" s="298"/>
      <c r="Q2" s="298"/>
      <c r="R2" s="297"/>
      <c r="S2" s="297"/>
      <c r="T2" s="297"/>
      <c r="U2" s="297"/>
      <c r="V2" s="297"/>
      <c r="W2" s="297"/>
      <c r="X2" s="297"/>
      <c r="Y2" s="297"/>
      <c r="Z2" s="297"/>
      <c r="AA2" s="297"/>
      <c r="AB2" s="297"/>
      <c r="AC2" s="297"/>
      <c r="AD2" s="297"/>
      <c r="AE2" s="297"/>
      <c r="AF2" s="297"/>
      <c r="AG2" s="297"/>
      <c r="AH2" s="297"/>
      <c r="AI2" s="299"/>
      <c r="AK2" s="183" t="s">
        <v>80</v>
      </c>
    </row>
    <row r="3" spans="1:37" s="111" customFormat="1" ht="18" customHeight="1" thickBot="1" x14ac:dyDescent="0.4">
      <c r="A3" s="292" t="s">
        <v>62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5"/>
      <c r="O3" s="300" t="s">
        <v>71</v>
      </c>
      <c r="P3" s="301"/>
      <c r="Q3" s="302"/>
      <c r="R3" s="303" t="s">
        <v>70</v>
      </c>
      <c r="S3" s="280"/>
      <c r="T3" s="280"/>
      <c r="U3" s="280"/>
      <c r="V3" s="280"/>
      <c r="W3" s="280"/>
      <c r="X3" s="280"/>
      <c r="Y3" s="280"/>
      <c r="Z3" s="281"/>
      <c r="AA3" s="279" t="s">
        <v>72</v>
      </c>
      <c r="AB3" s="280"/>
      <c r="AC3" s="280"/>
      <c r="AD3" s="280"/>
      <c r="AE3" s="280"/>
      <c r="AF3" s="280"/>
      <c r="AG3" s="280"/>
      <c r="AH3" s="280"/>
      <c r="AI3" s="281"/>
      <c r="AK3" s="108"/>
    </row>
    <row r="4" spans="1:37" s="4" customFormat="1" ht="63" customHeight="1" thickBot="1" x14ac:dyDescent="0.4">
      <c r="A4" s="184" t="s">
        <v>36</v>
      </c>
      <c r="B4" s="185" t="s">
        <v>0</v>
      </c>
      <c r="C4" s="185" t="s">
        <v>1</v>
      </c>
      <c r="D4" s="186" t="s">
        <v>10</v>
      </c>
      <c r="E4" s="186" t="s">
        <v>11</v>
      </c>
      <c r="F4" s="186" t="s">
        <v>3</v>
      </c>
      <c r="G4" s="186" t="s">
        <v>8</v>
      </c>
      <c r="H4" s="186" t="s">
        <v>9</v>
      </c>
      <c r="I4" s="186" t="s">
        <v>5</v>
      </c>
      <c r="J4" s="186" t="s">
        <v>7</v>
      </c>
      <c r="K4" s="186" t="s">
        <v>15</v>
      </c>
      <c r="L4" s="186" t="s">
        <v>16</v>
      </c>
      <c r="M4" s="186" t="s">
        <v>2</v>
      </c>
      <c r="N4" s="187" t="s">
        <v>63</v>
      </c>
      <c r="O4" s="188" t="s">
        <v>73</v>
      </c>
      <c r="P4" s="189" t="s">
        <v>74</v>
      </c>
      <c r="Q4" s="190" t="s">
        <v>50</v>
      </c>
      <c r="R4" s="191" t="s">
        <v>74</v>
      </c>
      <c r="S4" s="186" t="s">
        <v>50</v>
      </c>
      <c r="T4" s="186" t="s">
        <v>75</v>
      </c>
      <c r="U4" s="186" t="s">
        <v>64</v>
      </c>
      <c r="V4" s="186" t="s">
        <v>65</v>
      </c>
      <c r="W4" s="186" t="s">
        <v>66</v>
      </c>
      <c r="X4" s="186" t="s">
        <v>67</v>
      </c>
      <c r="Y4" s="186" t="s">
        <v>68</v>
      </c>
      <c r="Z4" s="192" t="s">
        <v>69</v>
      </c>
      <c r="AA4" s="193" t="s">
        <v>74</v>
      </c>
      <c r="AB4" s="186" t="s">
        <v>50</v>
      </c>
      <c r="AC4" s="186" t="s">
        <v>75</v>
      </c>
      <c r="AD4" s="186" t="s">
        <v>64</v>
      </c>
      <c r="AE4" s="186" t="s">
        <v>65</v>
      </c>
      <c r="AF4" s="186" t="s">
        <v>66</v>
      </c>
      <c r="AG4" s="186" t="s">
        <v>67</v>
      </c>
      <c r="AH4" s="186" t="s">
        <v>68</v>
      </c>
      <c r="AI4" s="192" t="s">
        <v>69</v>
      </c>
      <c r="AK4" s="24"/>
    </row>
    <row r="5" spans="1:37" s="204" customFormat="1" ht="27.65" customHeight="1" x14ac:dyDescent="0.35">
      <c r="A5" s="60">
        <v>1</v>
      </c>
      <c r="B5" s="194" t="s">
        <v>183</v>
      </c>
      <c r="C5" s="195"/>
      <c r="D5" s="34"/>
      <c r="E5" s="34"/>
      <c r="F5" s="87"/>
      <c r="G5" s="87">
        <v>4</v>
      </c>
      <c r="H5" s="87"/>
      <c r="I5" s="3"/>
      <c r="J5" s="87"/>
      <c r="K5" s="29" t="s">
        <v>20</v>
      </c>
      <c r="L5" s="3">
        <v>0.8</v>
      </c>
      <c r="M5" s="3" t="s">
        <v>4</v>
      </c>
      <c r="N5" s="95" t="s">
        <v>24</v>
      </c>
      <c r="O5" s="196">
        <v>0</v>
      </c>
      <c r="P5" s="197"/>
      <c r="Q5" s="198">
        <v>0</v>
      </c>
      <c r="R5" s="68" t="s">
        <v>41</v>
      </c>
      <c r="S5" s="67">
        <v>7</v>
      </c>
      <c r="T5" s="199">
        <v>50</v>
      </c>
      <c r="U5" s="87">
        <v>0.35</v>
      </c>
      <c r="V5" s="87">
        <v>0.48</v>
      </c>
      <c r="W5" s="87">
        <v>0.43</v>
      </c>
      <c r="X5" s="87">
        <v>5</v>
      </c>
      <c r="Y5" s="87">
        <v>0.49</v>
      </c>
      <c r="Z5" s="66" t="s">
        <v>24</v>
      </c>
      <c r="AA5" s="200" t="s">
        <v>40</v>
      </c>
      <c r="AB5" s="201">
        <v>7</v>
      </c>
      <c r="AC5" s="202">
        <v>20</v>
      </c>
      <c r="AD5" s="86">
        <v>0.41</v>
      </c>
      <c r="AE5" s="24">
        <v>0.64</v>
      </c>
      <c r="AF5" s="86">
        <v>0.65</v>
      </c>
      <c r="AG5" s="24">
        <v>12</v>
      </c>
      <c r="AH5" s="86">
        <v>0.42</v>
      </c>
      <c r="AI5" s="66" t="s">
        <v>24</v>
      </c>
      <c r="AJ5" s="203"/>
      <c r="AK5" s="20">
        <f>C5*14.5</f>
        <v>0</v>
      </c>
    </row>
    <row r="6" spans="1:37" s="204" customFormat="1" ht="27.65" customHeight="1" x14ac:dyDescent="0.35">
      <c r="A6" s="60">
        <f>A5+1</f>
        <v>2</v>
      </c>
      <c r="B6" s="194" t="s">
        <v>172</v>
      </c>
      <c r="C6" s="195"/>
      <c r="D6" s="34"/>
      <c r="E6" s="34"/>
      <c r="F6" s="87"/>
      <c r="G6" s="87"/>
      <c r="H6" s="87"/>
      <c r="I6" s="3"/>
      <c r="J6" s="87"/>
      <c r="K6" s="29" t="s">
        <v>20</v>
      </c>
      <c r="L6" s="3">
        <v>0.8</v>
      </c>
      <c r="M6" s="3" t="s">
        <v>4</v>
      </c>
      <c r="N6" s="95" t="s">
        <v>26</v>
      </c>
      <c r="O6" s="196">
        <v>0</v>
      </c>
      <c r="P6" s="197"/>
      <c r="Q6" s="198">
        <v>0</v>
      </c>
      <c r="R6" s="68" t="s">
        <v>41</v>
      </c>
      <c r="S6" s="67">
        <v>6</v>
      </c>
      <c r="T6" s="199">
        <v>50</v>
      </c>
      <c r="U6" s="87">
        <v>4.6399999999999997</v>
      </c>
      <c r="V6" s="87">
        <v>0.86</v>
      </c>
      <c r="W6" s="87"/>
      <c r="X6" s="87"/>
      <c r="Y6" s="87"/>
      <c r="Z6" s="66" t="s">
        <v>76</v>
      </c>
      <c r="AA6" s="200" t="s">
        <v>40</v>
      </c>
      <c r="AB6" s="201">
        <v>6</v>
      </c>
      <c r="AC6" s="202">
        <v>38</v>
      </c>
      <c r="AD6" s="86">
        <v>6.61</v>
      </c>
      <c r="AE6" s="24">
        <v>2.5499999999999998</v>
      </c>
      <c r="AF6" s="86"/>
      <c r="AG6" s="24"/>
      <c r="AH6" s="86"/>
      <c r="AI6" s="66" t="s">
        <v>26</v>
      </c>
      <c r="AJ6" s="203"/>
      <c r="AK6" s="20">
        <f t="shared" ref="AK6:AK7" si="0">C6*G6</f>
        <v>0</v>
      </c>
    </row>
    <row r="7" spans="1:37" ht="15" thickBot="1" x14ac:dyDescent="0.4">
      <c r="A7" s="36"/>
      <c r="B7" s="33"/>
      <c r="C7" s="34"/>
      <c r="D7" s="34"/>
      <c r="E7" s="69"/>
      <c r="F7" s="3"/>
      <c r="G7" s="35"/>
      <c r="H7" s="3"/>
      <c r="I7" s="3"/>
      <c r="J7" s="3"/>
      <c r="K7" s="29"/>
      <c r="L7" s="3"/>
      <c r="M7" s="28"/>
      <c r="N7" s="20"/>
      <c r="O7" s="70"/>
      <c r="P7" s="71"/>
      <c r="Q7" s="72"/>
      <c r="R7" s="68"/>
      <c r="S7" s="67"/>
      <c r="T7" s="73"/>
      <c r="U7" s="9"/>
      <c r="V7" s="9"/>
      <c r="W7" s="9"/>
      <c r="X7" s="9"/>
      <c r="Y7" s="9"/>
      <c r="Z7" s="74"/>
      <c r="AA7" s="75"/>
      <c r="AB7" s="76"/>
      <c r="AC7" s="71"/>
      <c r="AD7" s="77"/>
      <c r="AE7" s="77"/>
      <c r="AF7" s="77"/>
      <c r="AG7" s="77"/>
      <c r="AH7" s="77"/>
      <c r="AI7" s="78"/>
      <c r="AK7" s="20">
        <f t="shared" si="0"/>
        <v>0</v>
      </c>
    </row>
    <row r="8" spans="1:37" x14ac:dyDescent="0.35">
      <c r="F8" s="39"/>
      <c r="G8" s="39"/>
      <c r="H8" s="39"/>
      <c r="I8" s="39"/>
      <c r="J8" s="39"/>
      <c r="K8" s="39"/>
      <c r="L8" s="39"/>
    </row>
    <row r="12" spans="1:37" x14ac:dyDescent="0.35">
      <c r="D12" s="44"/>
      <c r="AJ12" s="38"/>
      <c r="AK12" s="20">
        <f>SUM(AK5:AK7)</f>
        <v>0</v>
      </c>
    </row>
    <row r="13" spans="1:37" x14ac:dyDescent="0.35">
      <c r="AJ13" s="38" t="s">
        <v>83</v>
      </c>
      <c r="AK13" s="20">
        <v>129154.44495000002</v>
      </c>
    </row>
    <row r="14" spans="1:37" x14ac:dyDescent="0.35">
      <c r="AJ14" s="4" t="s">
        <v>84</v>
      </c>
      <c r="AK14" s="205">
        <v>131488.56142499999</v>
      </c>
    </row>
    <row r="15" spans="1:37" x14ac:dyDescent="0.35">
      <c r="AJ15" s="4" t="s">
        <v>85</v>
      </c>
      <c r="AK15" s="205">
        <v>88611.081279999999</v>
      </c>
    </row>
    <row r="16" spans="1:37" x14ac:dyDescent="0.35">
      <c r="AJ16" s="4" t="s">
        <v>86</v>
      </c>
      <c r="AK16" s="10">
        <v>132250.87111999997</v>
      </c>
    </row>
  </sheetData>
  <mergeCells count="5">
    <mergeCell ref="A2:AI2"/>
    <mergeCell ref="A3:N3"/>
    <mergeCell ref="O3:Q3"/>
    <mergeCell ref="R3:Z3"/>
    <mergeCell ref="AA3:AI3"/>
  </mergeCells>
  <pageMargins left="0.23622047244094491" right="0.23622047244094491" top="2.3228346456692917" bottom="0.74803149606299213" header="0.31496062992125984" footer="0.31496062992125984"/>
  <pageSetup paperSize="8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39"/>
  <sheetViews>
    <sheetView tabSelected="1" topLeftCell="A34" workbookViewId="0">
      <selection activeCell="C45" sqref="C45"/>
    </sheetView>
  </sheetViews>
  <sheetFormatPr defaultColWidth="8.7265625" defaultRowHeight="18.5" x14ac:dyDescent="0.35"/>
  <cols>
    <col min="1" max="1" width="26.08984375" style="206" customWidth="1"/>
    <col min="2" max="2" width="12.81640625" style="206" customWidth="1"/>
    <col min="3" max="3" width="43" style="206" customWidth="1"/>
    <col min="4" max="4" width="29.1796875" style="206" customWidth="1"/>
    <col min="5" max="5" width="29.26953125" style="206" customWidth="1"/>
    <col min="6" max="37" width="18.81640625" style="206" customWidth="1"/>
    <col min="38" max="16384" width="8.7265625" style="206"/>
  </cols>
  <sheetData>
    <row r="2" spans="1:37" x14ac:dyDescent="0.35">
      <c r="A2" s="308" t="s">
        <v>225</v>
      </c>
      <c r="B2" s="308"/>
      <c r="C2" s="308"/>
      <c r="D2" s="308"/>
      <c r="E2" s="308"/>
    </row>
    <row r="4" spans="1:37" x14ac:dyDescent="0.35">
      <c r="A4" s="309" t="s">
        <v>216</v>
      </c>
      <c r="B4" s="309" t="s">
        <v>217</v>
      </c>
      <c r="C4" s="309" t="s">
        <v>218</v>
      </c>
      <c r="D4" s="309" t="s">
        <v>219</v>
      </c>
      <c r="E4" s="309" t="s">
        <v>220</v>
      </c>
      <c r="G4" s="207"/>
    </row>
    <row r="5" spans="1:37" s="208" customFormat="1" x14ac:dyDescent="0.35">
      <c r="A5" s="309"/>
      <c r="B5" s="309"/>
      <c r="C5" s="309"/>
      <c r="D5" s="309"/>
      <c r="E5" s="309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</row>
    <row r="6" spans="1:37" s="208" customFormat="1" ht="18.5" customHeight="1" x14ac:dyDescent="0.35">
      <c r="A6" s="309"/>
      <c r="B6" s="309"/>
      <c r="C6" s="309"/>
      <c r="D6" s="309"/>
      <c r="E6" s="309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</row>
    <row r="7" spans="1:37" s="208" customFormat="1" x14ac:dyDescent="0.35">
      <c r="A7" s="309"/>
      <c r="B7" s="309"/>
      <c r="C7" s="309"/>
      <c r="D7" s="209" t="s">
        <v>221</v>
      </c>
      <c r="E7" s="209" t="s">
        <v>222</v>
      </c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</row>
    <row r="8" spans="1:37" s="211" customFormat="1" ht="18.5" customHeight="1" x14ac:dyDescent="0.35">
      <c r="A8" s="307" t="s">
        <v>224</v>
      </c>
      <c r="B8" s="306" t="s">
        <v>175</v>
      </c>
      <c r="C8" s="306"/>
      <c r="D8" s="306"/>
      <c r="E8" s="306"/>
    </row>
    <row r="9" spans="1:37" s="211" customFormat="1" ht="18.5" customHeight="1" x14ac:dyDescent="0.35">
      <c r="A9" s="307"/>
      <c r="B9" s="210" t="str">
        <f>'lot 4'!AG6</f>
        <v>M6</v>
      </c>
      <c r="C9" s="210" t="s">
        <v>146</v>
      </c>
      <c r="D9" s="210">
        <f>'lot 4'!S6</f>
        <v>0.5</v>
      </c>
      <c r="E9" s="210">
        <v>0.3</v>
      </c>
    </row>
    <row r="10" spans="1:37" s="211" customFormat="1" x14ac:dyDescent="0.45">
      <c r="A10" s="307"/>
      <c r="B10" s="210" t="str">
        <f>'lot 4'!AG7</f>
        <v>M6</v>
      </c>
      <c r="C10" s="214" t="s">
        <v>147</v>
      </c>
      <c r="D10" s="210">
        <f>'lot 4'!S7</f>
        <v>0.53</v>
      </c>
      <c r="E10" s="210">
        <v>0.3</v>
      </c>
    </row>
    <row r="11" spans="1:37" s="211" customFormat="1" x14ac:dyDescent="0.35">
      <c r="A11" s="307"/>
      <c r="B11" s="210" t="str">
        <f>'lot 4'!AG8</f>
        <v>M6</v>
      </c>
      <c r="C11" s="210" t="s">
        <v>148</v>
      </c>
      <c r="D11" s="210">
        <f>'lot 4'!S8</f>
        <v>0.26</v>
      </c>
      <c r="E11" s="210">
        <v>0.3</v>
      </c>
    </row>
    <row r="12" spans="1:37" s="211" customFormat="1" x14ac:dyDescent="0.35">
      <c r="A12" s="307"/>
      <c r="B12" s="210" t="str">
        <f>'lot 4'!AG9</f>
        <v>M5</v>
      </c>
      <c r="C12" s="210" t="s">
        <v>149</v>
      </c>
      <c r="D12" s="210">
        <f>'lot 4'!S9</f>
        <v>0.33</v>
      </c>
      <c r="E12" s="210">
        <v>0.5</v>
      </c>
    </row>
    <row r="13" spans="1:37" s="211" customFormat="1" x14ac:dyDescent="0.35">
      <c r="A13" s="307"/>
      <c r="B13" s="210" t="str">
        <f>'lot 4'!AG11</f>
        <v>M6</v>
      </c>
      <c r="C13" s="210" t="s">
        <v>150</v>
      </c>
      <c r="D13" s="210">
        <f>'lot 4'!S11</f>
        <v>0.36</v>
      </c>
      <c r="E13" s="210">
        <v>0.3</v>
      </c>
    </row>
    <row r="14" spans="1:37" s="211" customFormat="1" x14ac:dyDescent="0.35">
      <c r="A14" s="307"/>
      <c r="B14" s="210" t="str">
        <f>'lot 4'!AG13</f>
        <v>M6</v>
      </c>
      <c r="C14" s="210" t="s">
        <v>151</v>
      </c>
      <c r="D14" s="210">
        <f>'lot 4'!S13</f>
        <v>0.38</v>
      </c>
      <c r="E14" s="210">
        <v>0.3</v>
      </c>
    </row>
    <row r="15" spans="1:37" s="211" customFormat="1" x14ac:dyDescent="0.35">
      <c r="A15" s="307"/>
      <c r="B15" s="210" t="str">
        <f>'lot 4'!AG14</f>
        <v>M5</v>
      </c>
      <c r="C15" s="210" t="s">
        <v>152</v>
      </c>
      <c r="D15" s="210">
        <f>'lot 4'!S14</f>
        <v>0.33</v>
      </c>
      <c r="E15" s="210">
        <v>0.5</v>
      </c>
    </row>
    <row r="16" spans="1:37" s="211" customFormat="1" x14ac:dyDescent="0.35">
      <c r="A16" s="307"/>
      <c r="B16" s="210" t="str">
        <f>'lot 4'!AG16</f>
        <v>M5</v>
      </c>
      <c r="C16" s="210" t="s">
        <v>153</v>
      </c>
      <c r="D16" s="210">
        <f>'lot 4'!S16</f>
        <v>0.33</v>
      </c>
      <c r="E16" s="210">
        <v>0.5</v>
      </c>
    </row>
    <row r="17" spans="1:5" s="211" customFormat="1" x14ac:dyDescent="0.35">
      <c r="A17" s="307"/>
      <c r="B17" s="210" t="str">
        <f>'lot 4'!AG18</f>
        <v>M6</v>
      </c>
      <c r="C17" s="210" t="s">
        <v>154</v>
      </c>
      <c r="D17" s="210">
        <f>'lot 4'!S18</f>
        <v>0.55000000000000004</v>
      </c>
      <c r="E17" s="210">
        <v>0.3</v>
      </c>
    </row>
    <row r="18" spans="1:5" s="211" customFormat="1" x14ac:dyDescent="0.35">
      <c r="A18" s="307"/>
      <c r="B18" s="210" t="str">
        <f>'lot 4'!AG19</f>
        <v>M6</v>
      </c>
      <c r="C18" s="210" t="s">
        <v>155</v>
      </c>
      <c r="D18" s="210">
        <f>'lot 4'!S19</f>
        <v>0.42</v>
      </c>
      <c r="E18" s="210">
        <v>0.3</v>
      </c>
    </row>
    <row r="19" spans="1:5" s="211" customFormat="1" x14ac:dyDescent="0.35">
      <c r="A19" s="307"/>
      <c r="B19" s="210" t="str">
        <f>'lot 4'!AG22</f>
        <v>M6</v>
      </c>
      <c r="C19" s="210" t="s">
        <v>156</v>
      </c>
      <c r="D19" s="210">
        <f>'lot 4'!S22</f>
        <v>0.42</v>
      </c>
      <c r="E19" s="210">
        <v>0.3</v>
      </c>
    </row>
    <row r="20" spans="1:5" s="211" customFormat="1" x14ac:dyDescent="0.35">
      <c r="A20" s="307"/>
      <c r="B20" s="210" t="str">
        <f>'lot 4'!AG25</f>
        <v>M5</v>
      </c>
      <c r="C20" s="210" t="s">
        <v>157</v>
      </c>
      <c r="D20" s="210">
        <f>'lot 4'!S25</f>
        <v>0.33</v>
      </c>
      <c r="E20" s="210">
        <v>0.5</v>
      </c>
    </row>
    <row r="21" spans="1:5" s="211" customFormat="1" ht="19" customHeight="1" x14ac:dyDescent="0.35">
      <c r="A21" s="307"/>
      <c r="B21" s="210" t="str">
        <f>'lot 4'!AG26</f>
        <v>M6</v>
      </c>
      <c r="C21" s="210" t="s">
        <v>158</v>
      </c>
      <c r="D21" s="210">
        <f>'lot 4'!S26</f>
        <v>1.21</v>
      </c>
      <c r="E21" s="210">
        <v>0.3</v>
      </c>
    </row>
    <row r="22" spans="1:5" s="211" customFormat="1" x14ac:dyDescent="0.35">
      <c r="A22" s="307"/>
      <c r="B22" s="210" t="str">
        <f>'lot 4'!AG27</f>
        <v>M6</v>
      </c>
      <c r="C22" s="210" t="s">
        <v>159</v>
      </c>
      <c r="D22" s="210">
        <f>'lot 4'!S27</f>
        <v>1.21</v>
      </c>
      <c r="E22" s="210">
        <v>0.3</v>
      </c>
    </row>
    <row r="23" spans="1:5" s="211" customFormat="1" x14ac:dyDescent="0.35">
      <c r="A23" s="307"/>
      <c r="B23" s="210" t="str">
        <f>'lot 4'!AG29</f>
        <v>M6</v>
      </c>
      <c r="C23" s="210" t="s">
        <v>160</v>
      </c>
      <c r="D23" s="210">
        <f>'lot 4'!S29</f>
        <v>0.33</v>
      </c>
      <c r="E23" s="210">
        <v>0.3</v>
      </c>
    </row>
    <row r="24" spans="1:5" s="211" customFormat="1" x14ac:dyDescent="0.35">
      <c r="A24" s="307"/>
      <c r="B24" s="210" t="str">
        <f>'lot 4'!AG30</f>
        <v>M6</v>
      </c>
      <c r="C24" s="210" t="s">
        <v>161</v>
      </c>
      <c r="D24" s="210">
        <f>'lot 4'!S30</f>
        <v>1.01</v>
      </c>
      <c r="E24" s="210">
        <v>0.3</v>
      </c>
    </row>
    <row r="25" spans="1:5" s="211" customFormat="1" x14ac:dyDescent="0.35">
      <c r="A25" s="307"/>
      <c r="B25" s="210" t="str">
        <f>'lot 4'!AG31</f>
        <v>M6</v>
      </c>
      <c r="C25" s="210" t="s">
        <v>162</v>
      </c>
      <c r="D25" s="210">
        <f>'lot 4'!S33</f>
        <v>1.0900000000000001</v>
      </c>
      <c r="E25" s="210">
        <v>0.3</v>
      </c>
    </row>
    <row r="26" spans="1:5" s="211" customFormat="1" x14ac:dyDescent="0.35">
      <c r="A26" s="307"/>
      <c r="B26" s="304" t="s">
        <v>174</v>
      </c>
      <c r="C26" s="286"/>
      <c r="D26" s="286"/>
      <c r="E26" s="305"/>
    </row>
    <row r="27" spans="1:5" s="211" customFormat="1" x14ac:dyDescent="0.35">
      <c r="A27" s="307"/>
      <c r="B27" s="210" t="str">
        <f>'lot 4'!AG35</f>
        <v>M6</v>
      </c>
      <c r="C27" s="212" t="str">
        <f>'lot 4'!B35</f>
        <v>Tronson 2</v>
      </c>
      <c r="D27" s="210">
        <f>'lot 4'!S35</f>
        <v>0.5</v>
      </c>
      <c r="E27" s="210">
        <v>0.3</v>
      </c>
    </row>
    <row r="28" spans="1:5" s="211" customFormat="1" x14ac:dyDescent="0.35">
      <c r="A28" s="307"/>
      <c r="B28" s="210" t="str">
        <f>'lot 4'!AG36</f>
        <v>M6</v>
      </c>
      <c r="C28" s="212" t="str">
        <f>'lot 4'!B36</f>
        <v>Tronson 3</v>
      </c>
      <c r="D28" s="210">
        <f>'lot 4'!S36</f>
        <v>0.45</v>
      </c>
      <c r="E28" s="210">
        <v>0.3</v>
      </c>
    </row>
    <row r="29" spans="1:5" s="211" customFormat="1" x14ac:dyDescent="0.35">
      <c r="A29" s="307"/>
      <c r="B29" s="210" t="str">
        <f>'lot 4'!AG37</f>
        <v>M6</v>
      </c>
      <c r="C29" s="212" t="str">
        <f>'lot 4'!B37</f>
        <v>Tronson 4</v>
      </c>
      <c r="D29" s="210">
        <f>'lot 4'!S37</f>
        <v>0.32</v>
      </c>
      <c r="E29" s="210">
        <v>0.3</v>
      </c>
    </row>
    <row r="30" spans="1:5" s="211" customFormat="1" x14ac:dyDescent="0.35">
      <c r="A30" s="307"/>
      <c r="B30" s="210" t="str">
        <f>'lot 4'!AG40</f>
        <v>M6</v>
      </c>
      <c r="C30" s="212" t="str">
        <f>'lot 4'!B40</f>
        <v>Tronson 5</v>
      </c>
      <c r="D30" s="210">
        <f>'lot 4'!S40</f>
        <v>0</v>
      </c>
      <c r="E30" s="210">
        <v>0.3</v>
      </c>
    </row>
    <row r="31" spans="1:5" s="211" customFormat="1" x14ac:dyDescent="0.35">
      <c r="A31" s="307"/>
      <c r="B31" s="210" t="str">
        <f>'lot 4'!AG42</f>
        <v>M6</v>
      </c>
      <c r="C31" s="212" t="str">
        <f>'lot 4'!B42</f>
        <v>Tronson 6</v>
      </c>
      <c r="D31" s="210">
        <f>'lot 4'!S42</f>
        <v>0</v>
      </c>
      <c r="E31" s="210">
        <v>0.3</v>
      </c>
    </row>
    <row r="32" spans="1:5" s="211" customFormat="1" x14ac:dyDescent="0.35">
      <c r="A32" s="307"/>
      <c r="B32" s="210" t="str">
        <f>'lot 4'!AG44</f>
        <v>M6</v>
      </c>
      <c r="C32" s="212" t="str">
        <f>'lot 4'!B44</f>
        <v>Tronson 7</v>
      </c>
      <c r="D32" s="210">
        <f>'lot 4'!S44</f>
        <v>0.98</v>
      </c>
      <c r="E32" s="210">
        <v>0.3</v>
      </c>
    </row>
    <row r="33" spans="1:5" s="211" customFormat="1" x14ac:dyDescent="0.35">
      <c r="A33" s="307"/>
      <c r="B33" s="210" t="str">
        <f>'lot 4'!AG47</f>
        <v>M6</v>
      </c>
      <c r="C33" s="212" t="str">
        <f>'lot 4'!B47</f>
        <v>Tronson 8</v>
      </c>
      <c r="D33" s="210">
        <f>'lot 4'!S47</f>
        <v>0.32</v>
      </c>
      <c r="E33" s="210">
        <v>0.3</v>
      </c>
    </row>
    <row r="34" spans="1:5" s="211" customFormat="1" x14ac:dyDescent="0.35">
      <c r="A34" s="307"/>
      <c r="B34" s="210" t="str">
        <f>'lot 4'!AG48</f>
        <v>M6</v>
      </c>
      <c r="C34" s="212" t="str">
        <f>'lot 4'!B48</f>
        <v>Tronson 9</v>
      </c>
      <c r="D34" s="210">
        <f>'lot 4'!S48</f>
        <v>0.32</v>
      </c>
      <c r="E34" s="210">
        <v>0.3</v>
      </c>
    </row>
    <row r="35" spans="1:5" s="211" customFormat="1" x14ac:dyDescent="0.35">
      <c r="A35" s="307"/>
      <c r="B35" s="210" t="str">
        <f>'lot 4'!AG49</f>
        <v>M6</v>
      </c>
      <c r="C35" s="212" t="str">
        <f>'lot 4'!B49</f>
        <v>Tronson 10</v>
      </c>
      <c r="D35" s="210">
        <f>'lot 4'!S49</f>
        <v>0.33</v>
      </c>
      <c r="E35" s="210">
        <v>0.3</v>
      </c>
    </row>
    <row r="36" spans="1:5" s="211" customFormat="1" x14ac:dyDescent="0.35">
      <c r="A36" s="307"/>
      <c r="B36" s="210" t="str">
        <f>'lot 4'!AG50</f>
        <v>M6</v>
      </c>
      <c r="C36" s="212" t="str">
        <f>'lot 4'!B50</f>
        <v>Tronson 11</v>
      </c>
      <c r="D36" s="210">
        <f>'lot 4'!S50</f>
        <v>1.01</v>
      </c>
      <c r="E36" s="210">
        <v>0.3</v>
      </c>
    </row>
    <row r="37" spans="1:5" s="211" customFormat="1" x14ac:dyDescent="0.35">
      <c r="A37" s="307"/>
      <c r="B37" s="210" t="str">
        <f>'lot 4'!AG51</f>
        <v>M6</v>
      </c>
      <c r="C37" s="210" t="str">
        <f>'lot 4'!B51</f>
        <v>Tronson 12</v>
      </c>
      <c r="D37" s="210">
        <f>'lot 4'!S51</f>
        <v>0.32</v>
      </c>
      <c r="E37" s="210">
        <v>0.3</v>
      </c>
    </row>
    <row r="39" spans="1:5" x14ac:dyDescent="0.35">
      <c r="D39" s="322">
        <f>(SUM(D27:D37)+SUM(D9:D25))/28</f>
        <v>0.505</v>
      </c>
      <c r="E39" s="322">
        <f>(SUM(E27:E37)+SUM(E9:E25))/28</f>
        <v>0.32857142857142846</v>
      </c>
    </row>
  </sheetData>
  <mergeCells count="9">
    <mergeCell ref="B26:E26"/>
    <mergeCell ref="B8:E8"/>
    <mergeCell ref="A8:A37"/>
    <mergeCell ref="A2:E2"/>
    <mergeCell ref="A4:A7"/>
    <mergeCell ref="B4:B7"/>
    <mergeCell ref="C4:C7"/>
    <mergeCell ref="D4:D6"/>
    <mergeCell ref="E4:E6"/>
  </mergeCells>
  <hyperlinks>
    <hyperlink ref="A8" r:id="rId1" location="m_-8735641992126305850__ftn2" display="https://mail.google.com/mail/u/0/ - m_-8735641992126305850__ftn2"/>
  </hyperlinks>
  <pageMargins left="0.7" right="0.7" top="0.75" bottom="0.75" header="0.3" footer="0.3"/>
  <pageSetup scale="66" fitToHeight="0" orientation="portrait" horizontalDpi="300" verticalDpi="30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9"/>
  <sheetViews>
    <sheetView workbookViewId="0">
      <selection activeCell="E10" sqref="E10"/>
    </sheetView>
  </sheetViews>
  <sheetFormatPr defaultColWidth="8.7265625" defaultRowHeight="18.5" x14ac:dyDescent="0.35"/>
  <cols>
    <col min="1" max="1" width="26.08984375" style="206" customWidth="1"/>
    <col min="2" max="2" width="12.81640625" style="206" customWidth="1"/>
    <col min="3" max="3" width="43" style="206" customWidth="1"/>
    <col min="4" max="4" width="29.1796875" style="206" customWidth="1"/>
    <col min="5" max="5" width="29.26953125" style="206" customWidth="1"/>
    <col min="6" max="37" width="18.81640625" style="206" customWidth="1"/>
    <col min="38" max="16384" width="8.7265625" style="206"/>
  </cols>
  <sheetData>
    <row r="2" spans="1:37" x14ac:dyDescent="0.35">
      <c r="A2" s="308" t="s">
        <v>226</v>
      </c>
      <c r="B2" s="308"/>
      <c r="C2" s="308"/>
      <c r="D2" s="308"/>
      <c r="E2" s="308"/>
    </row>
    <row r="4" spans="1:37" x14ac:dyDescent="0.35">
      <c r="A4" s="309" t="s">
        <v>216</v>
      </c>
      <c r="B4" s="309" t="s">
        <v>217</v>
      </c>
      <c r="C4" s="309" t="s">
        <v>218</v>
      </c>
      <c r="D4" s="309" t="s">
        <v>219</v>
      </c>
      <c r="E4" s="309" t="s">
        <v>220</v>
      </c>
      <c r="G4" s="207"/>
    </row>
    <row r="5" spans="1:37" s="208" customFormat="1" x14ac:dyDescent="0.35">
      <c r="A5" s="309"/>
      <c r="B5" s="309"/>
      <c r="C5" s="309"/>
      <c r="D5" s="309"/>
      <c r="E5" s="309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</row>
    <row r="6" spans="1:37" s="208" customFormat="1" ht="18.5" customHeight="1" x14ac:dyDescent="0.35">
      <c r="A6" s="309"/>
      <c r="B6" s="309"/>
      <c r="C6" s="309"/>
      <c r="D6" s="309"/>
      <c r="E6" s="309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</row>
    <row r="7" spans="1:37" s="208" customFormat="1" x14ac:dyDescent="0.35">
      <c r="A7" s="309"/>
      <c r="B7" s="309"/>
      <c r="C7" s="309"/>
      <c r="D7" s="209" t="s">
        <v>221</v>
      </c>
      <c r="E7" s="209" t="s">
        <v>222</v>
      </c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</row>
    <row r="8" spans="1:37" s="211" customFormat="1" ht="37" x14ac:dyDescent="0.35">
      <c r="A8" s="213" t="s">
        <v>223</v>
      </c>
      <c r="B8" s="210" t="str">
        <f>'lot 4 FOTO'!AI6</f>
        <v>P4</v>
      </c>
      <c r="C8" s="210" t="str">
        <f>'lot 4 FOTO'!B6</f>
        <v>Tronson 11</v>
      </c>
      <c r="D8" s="210">
        <f>'lot 4 FOTO'!U6</f>
        <v>4.6399999999999997</v>
      </c>
      <c r="E8" s="210">
        <v>5</v>
      </c>
    </row>
    <row r="9" spans="1:37" s="211" customFormat="1" ht="55.5" x14ac:dyDescent="0.35">
      <c r="A9" s="213" t="s">
        <v>224</v>
      </c>
      <c r="B9" s="210" t="str">
        <f>'lot 4 FOTO'!AI5</f>
        <v>M6</v>
      </c>
      <c r="C9" s="210" t="str">
        <f>'lot 4 FOTO'!B5</f>
        <v>Tronson 1</v>
      </c>
      <c r="D9" s="210">
        <f>'lot 4 FOTO'!U5</f>
        <v>0.35</v>
      </c>
      <c r="E9" s="210">
        <v>0.3</v>
      </c>
    </row>
  </sheetData>
  <mergeCells count="6">
    <mergeCell ref="A2:E2"/>
    <mergeCell ref="A4:A7"/>
    <mergeCell ref="B4:B7"/>
    <mergeCell ref="C4:C7"/>
    <mergeCell ref="D4:D6"/>
    <mergeCell ref="E4:E6"/>
  </mergeCells>
  <pageMargins left="0.62992125984251968" right="0.23622047244094491" top="1.5354330708661419" bottom="0.74803149606299213" header="0.31496062992125984" footer="0.31496062992125984"/>
  <pageSetup paperSize="9" scale="66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9"/>
  <sheetViews>
    <sheetView workbookViewId="0">
      <selection activeCell="A3" sqref="A3:F9"/>
    </sheetView>
  </sheetViews>
  <sheetFormatPr defaultColWidth="9.1796875" defaultRowHeight="14.5" x14ac:dyDescent="0.35"/>
  <cols>
    <col min="1" max="1" width="9.1796875" style="10"/>
    <col min="2" max="2" width="23.54296875" style="10" customWidth="1"/>
    <col min="3" max="3" width="19.81640625" style="10" customWidth="1"/>
    <col min="4" max="4" width="5.54296875" style="10" bestFit="1" customWidth="1"/>
    <col min="5" max="5" width="5.453125" style="10" customWidth="1"/>
    <col min="6" max="8" width="9.1796875" style="10"/>
    <col min="9" max="9" width="10.453125" style="10" customWidth="1"/>
    <col min="10" max="16384" width="9.1796875" style="10"/>
  </cols>
  <sheetData>
    <row r="3" spans="1:15" ht="55.5" customHeight="1" x14ac:dyDescent="0.35">
      <c r="A3" s="312" t="s">
        <v>47</v>
      </c>
      <c r="B3" s="312" t="s">
        <v>185</v>
      </c>
      <c r="C3" s="312" t="s">
        <v>49</v>
      </c>
      <c r="D3" s="314" t="s">
        <v>50</v>
      </c>
      <c r="E3" s="315"/>
      <c r="F3" s="112" t="s">
        <v>52</v>
      </c>
      <c r="G3" s="112" t="s">
        <v>53</v>
      </c>
      <c r="H3" s="112" t="s">
        <v>54</v>
      </c>
      <c r="I3" s="112" t="s">
        <v>55</v>
      </c>
      <c r="J3" s="112" t="s">
        <v>56</v>
      </c>
      <c r="K3" s="53"/>
      <c r="L3" s="53"/>
    </row>
    <row r="4" spans="1:15" ht="15" customHeight="1" x14ac:dyDescent="0.35">
      <c r="A4" s="313"/>
      <c r="B4" s="313"/>
      <c r="C4" s="313"/>
      <c r="D4" s="316"/>
      <c r="E4" s="317"/>
      <c r="F4" s="112" t="s">
        <v>45</v>
      </c>
      <c r="G4" s="112" t="s">
        <v>45</v>
      </c>
      <c r="H4" s="112" t="s">
        <v>45</v>
      </c>
      <c r="I4" s="112" t="s">
        <v>51</v>
      </c>
      <c r="J4" s="112" t="s">
        <v>42</v>
      </c>
      <c r="K4" s="53"/>
      <c r="L4" s="53"/>
    </row>
    <row r="5" spans="1:15" ht="31" x14ac:dyDescent="0.35">
      <c r="A5" s="29">
        <v>1</v>
      </c>
      <c r="B5" s="113" t="s">
        <v>186</v>
      </c>
      <c r="C5" s="114" t="s">
        <v>46</v>
      </c>
      <c r="D5" s="114">
        <v>37</v>
      </c>
      <c r="E5" s="29" t="s">
        <v>43</v>
      </c>
      <c r="F5" s="114">
        <v>125</v>
      </c>
      <c r="G5" s="29">
        <f>F5+22.5</f>
        <v>147.5</v>
      </c>
      <c r="H5" s="29">
        <f>D5*G5</f>
        <v>5457.5</v>
      </c>
      <c r="I5" s="115">
        <f>H5*4379/1000000</f>
        <v>23.8983925</v>
      </c>
      <c r="J5" s="116">
        <f>(I5)/I9</f>
        <v>0.43981947858322923</v>
      </c>
      <c r="K5" s="11"/>
      <c r="L5" s="11"/>
    </row>
    <row r="6" spans="1:15" ht="31" x14ac:dyDescent="0.35">
      <c r="A6" s="29">
        <v>2</v>
      </c>
      <c r="B6" s="113" t="s">
        <v>187</v>
      </c>
      <c r="C6" s="114" t="s">
        <v>92</v>
      </c>
      <c r="D6" s="114">
        <v>20</v>
      </c>
      <c r="E6" s="29" t="s">
        <v>43</v>
      </c>
      <c r="F6" s="114">
        <v>72</v>
      </c>
      <c r="G6" s="29">
        <f>F6+22.5</f>
        <v>94.5</v>
      </c>
      <c r="H6" s="29">
        <f>D6*G6</f>
        <v>1890</v>
      </c>
      <c r="I6" s="115">
        <f>H6*4379/1000000</f>
        <v>8.2763100000000005</v>
      </c>
      <c r="J6" s="116">
        <f>(I6)/I9</f>
        <v>0.15231494540033044</v>
      </c>
      <c r="K6" s="11"/>
      <c r="L6" s="11"/>
    </row>
    <row r="7" spans="1:15" ht="15.5" x14ac:dyDescent="0.35">
      <c r="A7" s="29">
        <v>3</v>
      </c>
      <c r="B7" s="318" t="s">
        <v>188</v>
      </c>
      <c r="C7" s="114" t="s">
        <v>46</v>
      </c>
      <c r="D7" s="114">
        <v>6</v>
      </c>
      <c r="E7" s="29" t="s">
        <v>43</v>
      </c>
      <c r="F7" s="114">
        <v>70</v>
      </c>
      <c r="G7" s="29">
        <f>F7+26</f>
        <v>96</v>
      </c>
      <c r="H7" s="29">
        <f t="shared" ref="H7:H8" si="0">D7*G7</f>
        <v>576</v>
      </c>
      <c r="I7" s="115">
        <f t="shared" ref="I7:I8" si="1">H7*4379/1000000</f>
        <v>2.5223040000000001</v>
      </c>
      <c r="J7" s="310">
        <f>SUM(I7:I8)/I9</f>
        <v>0.4078655760164403</v>
      </c>
      <c r="K7" s="11"/>
      <c r="L7" s="11"/>
    </row>
    <row r="8" spans="1:15" ht="15.5" x14ac:dyDescent="0.35">
      <c r="A8" s="29">
        <v>4</v>
      </c>
      <c r="B8" s="318"/>
      <c r="C8" s="114" t="s">
        <v>46</v>
      </c>
      <c r="D8" s="114">
        <f>32-6</f>
        <v>26</v>
      </c>
      <c r="E8" s="29" t="s">
        <v>43</v>
      </c>
      <c r="F8" s="114">
        <v>150</v>
      </c>
      <c r="G8" s="29">
        <f>F8+22.5</f>
        <v>172.5</v>
      </c>
      <c r="H8" s="29">
        <f t="shared" si="0"/>
        <v>4485</v>
      </c>
      <c r="I8" s="115">
        <f t="shared" si="1"/>
        <v>19.639814999999999</v>
      </c>
      <c r="J8" s="310"/>
      <c r="K8" s="11"/>
      <c r="L8" s="11"/>
    </row>
    <row r="9" spans="1:15" x14ac:dyDescent="0.35">
      <c r="A9" s="311" t="s">
        <v>57</v>
      </c>
      <c r="B9" s="311"/>
      <c r="C9" s="311"/>
      <c r="D9" s="112">
        <f>SUM(D5:D8)</f>
        <v>89</v>
      </c>
      <c r="E9" s="112" t="s">
        <v>43</v>
      </c>
      <c r="F9" s="112"/>
      <c r="G9" s="112"/>
      <c r="H9" s="112">
        <f>SUM(H5:H8)</f>
        <v>12408.5</v>
      </c>
      <c r="I9" s="117">
        <f>H9*4379/1000000</f>
        <v>54.336821499999999</v>
      </c>
      <c r="J9" s="112"/>
      <c r="O9" s="10">
        <v>91</v>
      </c>
    </row>
  </sheetData>
  <mergeCells count="7">
    <mergeCell ref="J7:J8"/>
    <mergeCell ref="A9:C9"/>
    <mergeCell ref="A3:A4"/>
    <mergeCell ref="B3:B4"/>
    <mergeCell ref="C3:C4"/>
    <mergeCell ref="D3:E4"/>
    <mergeCell ref="B7:B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0"/>
  <sheetViews>
    <sheetView workbookViewId="0">
      <selection activeCell="G9" sqref="G9"/>
    </sheetView>
  </sheetViews>
  <sheetFormatPr defaultColWidth="9.1796875" defaultRowHeight="14.5" x14ac:dyDescent="0.35"/>
  <cols>
    <col min="1" max="1" width="9.1796875" style="10"/>
    <col min="2" max="2" width="15.26953125" style="10" customWidth="1"/>
    <col min="3" max="3" width="19.81640625" style="10" customWidth="1"/>
    <col min="4" max="4" width="5.54296875" style="10" bestFit="1" customWidth="1"/>
    <col min="5" max="5" width="5.453125" style="10" customWidth="1"/>
    <col min="6" max="6" width="9.1796875" style="10"/>
    <col min="7" max="7" width="17.453125" style="10" customWidth="1"/>
    <col min="8" max="8" width="9.1796875" style="10"/>
    <col min="9" max="9" width="10.453125" style="10" customWidth="1"/>
    <col min="10" max="16384" width="9.1796875" style="10"/>
  </cols>
  <sheetData>
    <row r="3" spans="1:11" s="55" customFormat="1" ht="55.5" customHeight="1" x14ac:dyDescent="0.35">
      <c r="A3" s="312" t="s">
        <v>47</v>
      </c>
      <c r="B3" s="312" t="s">
        <v>48</v>
      </c>
      <c r="C3" s="312" t="s">
        <v>49</v>
      </c>
      <c r="D3" s="314" t="s">
        <v>50</v>
      </c>
      <c r="E3" s="315"/>
      <c r="F3" s="181" t="s">
        <v>52</v>
      </c>
      <c r="G3" s="181" t="s">
        <v>95</v>
      </c>
      <c r="H3" s="181" t="s">
        <v>54</v>
      </c>
      <c r="I3" s="181" t="s">
        <v>55</v>
      </c>
      <c r="J3" s="54"/>
      <c r="K3" s="54"/>
    </row>
    <row r="4" spans="1:11" ht="15" customHeight="1" x14ac:dyDescent="0.35">
      <c r="A4" s="313"/>
      <c r="B4" s="313"/>
      <c r="C4" s="313"/>
      <c r="D4" s="316"/>
      <c r="E4" s="317"/>
      <c r="F4" s="181" t="s">
        <v>45</v>
      </c>
      <c r="G4" s="181" t="s">
        <v>45</v>
      </c>
      <c r="H4" s="181" t="s">
        <v>45</v>
      </c>
      <c r="I4" s="181" t="s">
        <v>51</v>
      </c>
      <c r="J4" s="53"/>
      <c r="K4" s="53"/>
    </row>
    <row r="5" spans="1:11" s="173" customFormat="1" ht="14.5" customHeight="1" x14ac:dyDescent="0.35">
      <c r="A5" s="166">
        <v>1</v>
      </c>
      <c r="B5" s="319" t="s">
        <v>44</v>
      </c>
      <c r="C5" s="166" t="s">
        <v>211</v>
      </c>
      <c r="D5" s="167">
        <f>'[1]lot 4'!V7+'[1]lot 4'!V8+'[1]lot 4'!V12+'[1]lot 4'!V14+'[1]lot 4'!V19+'[1]lot 4'!V20+'[1]lot 4'!V23+'[1]lot 4'!V27+'[1]lot 4'!V28+'[1]lot 4'!V30+'[1]lot 4'!V36+'[1]lot 4'!V50</f>
        <v>82</v>
      </c>
      <c r="E5" s="168" t="s">
        <v>43</v>
      </c>
      <c r="F5" s="169">
        <v>30</v>
      </c>
      <c r="G5" s="169">
        <v>32</v>
      </c>
      <c r="H5" s="169">
        <f>D5*G5</f>
        <v>2624</v>
      </c>
      <c r="I5" s="170">
        <f t="shared" ref="I5:I9" si="0">H5*4379/1000000</f>
        <v>11.490496</v>
      </c>
      <c r="J5" s="171"/>
      <c r="K5" s="172"/>
    </row>
    <row r="6" spans="1:11" ht="15.5" x14ac:dyDescent="0.35">
      <c r="A6" s="29">
        <f>A5+1</f>
        <v>2</v>
      </c>
      <c r="B6" s="320"/>
      <c r="C6" s="180" t="s">
        <v>212</v>
      </c>
      <c r="D6" s="174">
        <f>'[1]lot 4'!V9+'[1]lot 4'!V15+'[1]lot 4'!V17+'[1]lot 4'!V31+'[1]lot 4'!V32+'[1]lot 4'!V37+'[1]lot 4'!V38+'[1]lot 4'!V41+'[1]lot 4'!V43+'[1]lot 4'!V45+'[1]lot 4'!V48+'[1]lot 4'!V49+'[1]lot 4'!V51+'[1]lot 4'!V52</f>
        <v>122</v>
      </c>
      <c r="E6" s="29" t="s">
        <v>43</v>
      </c>
      <c r="F6" s="180">
        <v>40</v>
      </c>
      <c r="G6" s="29">
        <f>F6+2</f>
        <v>42</v>
      </c>
      <c r="H6" s="29">
        <f>D6*G6</f>
        <v>5124</v>
      </c>
      <c r="I6" s="115">
        <f t="shared" si="0"/>
        <v>22.437995999999998</v>
      </c>
      <c r="J6" s="11"/>
      <c r="K6" s="11"/>
    </row>
    <row r="7" spans="1:11" ht="15.5" x14ac:dyDescent="0.35">
      <c r="A7" s="29">
        <f t="shared" ref="A7:A9" si="1">A6+1</f>
        <v>3</v>
      </c>
      <c r="B7" s="321"/>
      <c r="C7" s="180" t="s">
        <v>213</v>
      </c>
      <c r="D7" s="174">
        <f>'[1]lot 4'!V10+'[1]lot 4'!V25</f>
        <v>24</v>
      </c>
      <c r="E7" s="29" t="s">
        <v>43</v>
      </c>
      <c r="F7" s="180">
        <v>50</v>
      </c>
      <c r="G7" s="29">
        <f t="shared" ref="G7" si="2">F7+2</f>
        <v>52</v>
      </c>
      <c r="H7" s="29">
        <f t="shared" ref="H7" si="3">D7*G7</f>
        <v>1248</v>
      </c>
      <c r="I7" s="115">
        <f t="shared" si="0"/>
        <v>5.4649919999999996</v>
      </c>
      <c r="J7" s="11"/>
      <c r="K7" s="11"/>
    </row>
    <row r="8" spans="1:11" ht="15.5" x14ac:dyDescent="0.35">
      <c r="A8" s="29">
        <f t="shared" si="1"/>
        <v>4</v>
      </c>
      <c r="B8" s="320" t="s">
        <v>227</v>
      </c>
      <c r="C8" s="180" t="s">
        <v>211</v>
      </c>
      <c r="D8" s="174">
        <v>7</v>
      </c>
      <c r="E8" s="29" t="s">
        <v>43</v>
      </c>
      <c r="F8" s="169">
        <v>30</v>
      </c>
      <c r="G8" s="169">
        <v>32</v>
      </c>
      <c r="H8" s="169">
        <f>D8*G8</f>
        <v>224</v>
      </c>
      <c r="I8" s="170">
        <f t="shared" si="0"/>
        <v>0.98089599999999999</v>
      </c>
    </row>
    <row r="9" spans="1:11" ht="15.5" x14ac:dyDescent="0.35">
      <c r="A9" s="29">
        <f t="shared" si="1"/>
        <v>5</v>
      </c>
      <c r="B9" s="321"/>
      <c r="C9" s="180" t="s">
        <v>212</v>
      </c>
      <c r="D9" s="174">
        <v>6</v>
      </c>
      <c r="E9" s="29" t="s">
        <v>43</v>
      </c>
      <c r="F9" s="180">
        <v>40</v>
      </c>
      <c r="G9" s="29">
        <f>F9+2</f>
        <v>42</v>
      </c>
      <c r="H9" s="29">
        <f>D9*G9</f>
        <v>252</v>
      </c>
      <c r="I9" s="115">
        <f t="shared" si="0"/>
        <v>1.1035079999999999</v>
      </c>
    </row>
    <row r="10" spans="1:11" x14ac:dyDescent="0.35">
      <c r="A10" s="311" t="s">
        <v>57</v>
      </c>
      <c r="B10" s="311"/>
      <c r="C10" s="311"/>
      <c r="D10" s="242">
        <f>SUM(D5:D9)</f>
        <v>241</v>
      </c>
      <c r="E10" s="181" t="s">
        <v>43</v>
      </c>
      <c r="F10" s="181"/>
      <c r="G10" s="181"/>
      <c r="H10" s="181">
        <f>SUM(H5:H7)</f>
        <v>8996</v>
      </c>
      <c r="I10" s="117">
        <f>H10*4379/1000000</f>
        <v>39.393484000000001</v>
      </c>
    </row>
  </sheetData>
  <mergeCells count="7">
    <mergeCell ref="A10:C10"/>
    <mergeCell ref="D3:E4"/>
    <mergeCell ref="A3:A4"/>
    <mergeCell ref="B3:B4"/>
    <mergeCell ref="C3:C4"/>
    <mergeCell ref="B5:B7"/>
    <mergeCell ref="B8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Sheet1</vt:lpstr>
      <vt:lpstr>bilant</vt:lpstr>
      <vt:lpstr>bilant energetic</vt:lpstr>
      <vt:lpstr>lot 4</vt:lpstr>
      <vt:lpstr>lot 4 FOTO</vt:lpstr>
      <vt:lpstr>LOT 4 (1)</vt:lpstr>
      <vt:lpstr>LOT 4 FOTO (1)</vt:lpstr>
      <vt:lpstr>AIL EXISTENT</vt:lpstr>
      <vt:lpstr>AIL PROIECTAT</vt:lpstr>
      <vt:lpstr>'lot 4'!Print_Area</vt:lpstr>
      <vt:lpstr>'lot 4 FOTO'!Print_Area</vt:lpstr>
      <vt:lpstr>'lot 4'!Print_Titles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2018-07-23T17:06:10Z</dcterms:modified>
</cp:coreProperties>
</file>